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601"/>
  <workbookPr codeName="ThisWorkbook" defaultThemeVersion="124226"/>
  <mc:AlternateContent xmlns:mc="http://schemas.openxmlformats.org/markup-compatibility/2006">
    <mc:Choice Requires="x15">
      <x15ac:absPath xmlns:x15ac="http://schemas.microsoft.com/office/spreadsheetml/2010/11/ac" url="Q:\LONG RANGE PLANNING\SK\DOCS FOR UPLOAD\fire\"/>
    </mc:Choice>
  </mc:AlternateContent>
  <xr:revisionPtr revIDLastSave="0" documentId="8_{BDAEDA65-039A-4FFC-9A89-B0AECD454D26}" xr6:coauthVersionLast="47" xr6:coauthVersionMax="47" xr10:uidLastSave="{00000000-0000-0000-0000-000000000000}"/>
  <bookViews>
    <workbookView xWindow="-120" yWindow="-120" windowWidth="29040" windowHeight="15840" tabRatio="605" firstSheet="2" activeTab="2" xr2:uid="{00000000-000D-0000-FFFF-FFFF00000000}"/>
  </bookViews>
  <sheets>
    <sheet name="How this works " sheetId="1" r:id="rId1"/>
    <sheet name="Fireflow information" sheetId="2" r:id="rId2"/>
    <sheet name="Fireflow worksheet" sheetId="3" r:id="rId3"/>
    <sheet name="Chapter 9 sprinkler check " sheetId="4" r:id="rId4"/>
    <sheet name="fire alarm worksheet" sheetId="5" r:id="rId5"/>
    <sheet name="interplation " sheetId="6" state="hidden" r:id="rId6"/>
    <sheet name="reverse eng" sheetId="7" state="hidden" r:id="rId7"/>
    <sheet name="for later" sheetId="8" state="hidden" r:id="rId8"/>
  </sheets>
  <definedNames>
    <definedName name="_xlnm._FilterDatabase" localSheetId="3" hidden="1">'Chapter 9 sprinkler check '!$F$141:$F$142</definedName>
    <definedName name="_xlnm.Print_Area" localSheetId="2">'Fireflow worksheet'!$A$2:$F$30</definedName>
    <definedName name="Z_4770F18A_B840_4B20_A42E_C86FB8C2CAA9_.wvu.Cols" localSheetId="3" hidden="1">'Chapter 9 sprinkler check '!$E:$E</definedName>
    <definedName name="Z_4770F18A_B840_4B20_A42E_C86FB8C2CAA9_.wvu.FilterData" localSheetId="3" hidden="1">'Chapter 9 sprinkler check '!$F$141:$F$142</definedName>
    <definedName name="Z_4770F18A_B840_4B20_A42E_C86FB8C2CAA9_.wvu.PrintArea" localSheetId="2" hidden="1">'Fireflow worksheet'!$A$2:$F$30</definedName>
    <definedName name="Z_4770F18A_B840_4B20_A42E_C86FB8C2CAA9_.wvu.Rows" localSheetId="3" hidden="1">'Chapter 9 sprinkler check '!$12:$13,'Chapter 9 sprinkler check '!$15:$15,'Chapter 9 sprinkler check '!$20:$22</definedName>
    <definedName name="Z_BB9B1433_7306_4F1F_BC99_E205D3AD018F_.wvu.Rows" localSheetId="3" hidden="1">'Chapter 9 sprinkler check '!$12:$13,'Chapter 9 sprinkler check '!$15:$15,'Chapter 9 sprinkler check '!$20:$22</definedName>
  </definedNames>
  <calcPr calcId="191029"/>
  <customWorkbookViews>
    <customWorkbookView name="edmarkc - Personal View" guid="{4770F18A-B840-4B20-A42E-C86FB8C2CAA9}" mergeInterval="0" personalView="1" maximized="1" xWindow="1" yWindow="1" windowWidth="1680" windowHeight="820" tabRatio="605" activeSheetId="3"/>
    <customWorkbookView name="Thurston County - Personal View" guid="{BB9B1433-7306-4F1F-BC99-E205D3AD018F}" mergeInterval="0" personalView="1" maximized="1" windowWidth="1020" windowHeight="60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27" i="3" l="1"/>
  <c r="D27" i="3"/>
  <c r="C27" i="3"/>
  <c r="B27" i="3"/>
  <c r="B62" i="3" l="1"/>
  <c r="E24" i="4"/>
  <c r="C24" i="4"/>
  <c r="E23" i="4"/>
  <c r="C23" i="4"/>
  <c r="B24" i="3"/>
  <c r="C24" i="3"/>
  <c r="D24" i="3"/>
  <c r="E24" i="3"/>
  <c r="F24" i="3"/>
  <c r="F13" i="3"/>
  <c r="E13" i="3"/>
  <c r="D13" i="3"/>
  <c r="C13" i="3"/>
  <c r="B13" i="3"/>
  <c r="F10" i="7"/>
  <c r="G10" i="7" s="1"/>
  <c r="H10" i="7" s="1"/>
  <c r="G8" i="8"/>
  <c r="I10" i="8"/>
  <c r="I13" i="8"/>
  <c r="I16" i="8"/>
  <c r="J16" i="8"/>
  <c r="L16" i="8"/>
  <c r="I18" i="8"/>
  <c r="I8" i="8" s="1"/>
  <c r="K8" i="8" s="1"/>
  <c r="H21" i="8" s="1"/>
  <c r="L18" i="8"/>
  <c r="M18" i="8"/>
  <c r="G28" i="7"/>
  <c r="G29" i="7" s="1"/>
  <c r="C12" i="6"/>
  <c r="C15" i="6" s="1"/>
  <c r="F15" i="6" s="1"/>
  <c r="D21" i="6" s="1"/>
  <c r="F21" i="6" s="1"/>
  <c r="G21" i="6" s="1"/>
  <c r="C13" i="6"/>
  <c r="D13" i="6"/>
  <c r="I16" i="6" s="1"/>
  <c r="I17" i="6" s="1"/>
  <c r="F23" i="6"/>
  <c r="D12" i="6"/>
  <c r="D15" i="6"/>
  <c r="E4" i="4"/>
  <c r="E10" i="4"/>
  <c r="E19" i="4"/>
  <c r="E18" i="4"/>
  <c r="E17" i="4"/>
  <c r="E16" i="4"/>
  <c r="E15" i="4"/>
  <c r="E14" i="4"/>
  <c r="E13" i="4"/>
  <c r="E12" i="4"/>
  <c r="E11" i="4"/>
  <c r="E9" i="4"/>
  <c r="E8" i="4"/>
  <c r="E7" i="4"/>
  <c r="E6" i="4"/>
  <c r="E5" i="4"/>
  <c r="E25" i="4" s="1"/>
  <c r="C19" i="4"/>
  <c r="C18" i="4"/>
  <c r="C17" i="4"/>
  <c r="C16" i="4"/>
  <c r="C15" i="4"/>
  <c r="C14" i="4"/>
  <c r="C13" i="4"/>
  <c r="C12" i="4"/>
  <c r="C11" i="4"/>
  <c r="C10" i="4"/>
  <c r="C9" i="4"/>
  <c r="C8" i="4"/>
  <c r="C7" i="4"/>
  <c r="C6" i="4"/>
  <c r="C5" i="4"/>
  <c r="C4" i="4"/>
  <c r="F22" i="3"/>
  <c r="F25" i="3" s="1"/>
  <c r="E22" i="3"/>
  <c r="E25" i="3" s="1"/>
  <c r="E23" i="3" s="1"/>
  <c r="E26" i="3" s="1"/>
  <c r="D22" i="3"/>
  <c r="D25" i="3" s="1"/>
  <c r="C22" i="3"/>
  <c r="C25" i="3" s="1"/>
  <c r="C23" i="3" s="1"/>
  <c r="C26" i="3" s="1"/>
  <c r="B22" i="3"/>
  <c r="B25" i="3" s="1"/>
  <c r="O7" i="3"/>
  <c r="O8" i="3"/>
  <c r="O9" i="3"/>
  <c r="O10" i="3"/>
  <c r="O12" i="3"/>
  <c r="B61" i="3"/>
  <c r="B63" i="3"/>
  <c r="B64" i="3"/>
  <c r="B65" i="3"/>
  <c r="B66" i="3"/>
  <c r="B67" i="3"/>
  <c r="B68" i="3"/>
  <c r="R7" i="3"/>
  <c r="R8" i="3"/>
  <c r="R9" i="3"/>
  <c r="R10" i="3"/>
  <c r="R11" i="3"/>
  <c r="R12" i="3"/>
  <c r="Q7" i="3"/>
  <c r="Q8" i="3"/>
  <c r="Q9" i="3"/>
  <c r="Q10" i="3"/>
  <c r="Q11" i="3"/>
  <c r="Q12" i="3"/>
  <c r="P7" i="3"/>
  <c r="P8" i="3"/>
  <c r="P9" i="3"/>
  <c r="P10" i="3"/>
  <c r="P11" i="3"/>
  <c r="P12" i="3"/>
  <c r="N7" i="3"/>
  <c r="N8" i="3"/>
  <c r="N9" i="3"/>
  <c r="N10" i="3"/>
  <c r="N12" i="3"/>
  <c r="F12" i="3"/>
  <c r="E12" i="3"/>
  <c r="D12" i="3"/>
  <c r="C12" i="3"/>
  <c r="B12" i="3"/>
  <c r="N20" i="4"/>
  <c r="O20" i="4"/>
  <c r="P20" i="4"/>
  <c r="Q20" i="4"/>
  <c r="R20" i="4"/>
  <c r="B58" i="4"/>
  <c r="B59" i="4"/>
  <c r="B60" i="4"/>
  <c r="B61" i="4"/>
  <c r="B62" i="4"/>
  <c r="B63" i="4"/>
  <c r="B64" i="4"/>
  <c r="B65" i="4"/>
  <c r="B70" i="4"/>
  <c r="G38" i="4"/>
  <c r="H38" i="4"/>
  <c r="I38" i="4"/>
  <c r="J38" i="4"/>
  <c r="G39" i="4"/>
  <c r="H39" i="4"/>
  <c r="I39" i="4"/>
  <c r="J39" i="4"/>
  <c r="J101" i="4"/>
  <c r="B18" i="8"/>
  <c r="I18" i="6" l="1"/>
  <c r="I19" i="6" s="1"/>
  <c r="J18" i="8"/>
  <c r="B73" i="3"/>
  <c r="B23" i="3"/>
  <c r="B26" i="3" s="1"/>
  <c r="F23" i="3"/>
  <c r="F26" i="3" s="1"/>
  <c r="N23" i="3"/>
  <c r="B7" i="3" s="1"/>
  <c r="D23" i="3"/>
  <c r="D26" i="3" s="1"/>
  <c r="P23" i="3"/>
  <c r="D7" i="3" s="1"/>
  <c r="O23" i="3"/>
  <c r="C7" i="3" s="1"/>
  <c r="R23" i="3"/>
  <c r="F7" i="3" s="1"/>
  <c r="Q23" i="3"/>
  <c r="E7" i="3" s="1"/>
  <c r="I22" i="6"/>
  <c r="I23" i="6" s="1"/>
  <c r="D8" i="3" l="1"/>
  <c r="D9" i="3" s="1"/>
  <c r="D15" i="3" s="1"/>
  <c r="C8" i="3"/>
  <c r="C9" i="3" s="1"/>
  <c r="C15" i="3" s="1"/>
  <c r="E8" i="3"/>
  <c r="E9" i="3" s="1"/>
  <c r="E14" i="3" s="1"/>
  <c r="F8" i="3"/>
  <c r="F9" i="3" s="1"/>
  <c r="F10" i="3" s="1"/>
  <c r="B8" i="3"/>
  <c r="B9" i="3" s="1"/>
  <c r="B15" i="3" s="1"/>
  <c r="E11" i="3" l="1"/>
  <c r="E15" i="3"/>
  <c r="E16" i="3" s="1"/>
  <c r="B10" i="3"/>
  <c r="D10" i="3"/>
  <c r="F11" i="3"/>
  <c r="D11" i="3"/>
  <c r="F15" i="3"/>
  <c r="F21" i="3" s="1"/>
  <c r="C14" i="3"/>
  <c r="B14" i="3"/>
  <c r="D14" i="3"/>
  <c r="C10" i="3"/>
  <c r="B11" i="3"/>
  <c r="F14" i="3"/>
  <c r="E10" i="3"/>
  <c r="C11" i="3"/>
  <c r="B18" i="3"/>
  <c r="B20" i="3" s="1"/>
  <c r="B16" i="3"/>
  <c r="C21" i="3"/>
  <c r="C18" i="3"/>
  <c r="C20" i="3" s="1"/>
  <c r="C16" i="3"/>
  <c r="D16" i="3"/>
  <c r="D21" i="3"/>
  <c r="D18" i="3"/>
  <c r="D20" i="3" s="1"/>
  <c r="F16" i="3"/>
  <c r="B29" i="3" l="1"/>
  <c r="B28" i="3"/>
  <c r="D29" i="3"/>
  <c r="D28" i="3"/>
  <c r="C28" i="3"/>
  <c r="C29" i="3"/>
  <c r="F18" i="3"/>
  <c r="F20" i="3" s="1"/>
  <c r="E18" i="3"/>
  <c r="E20" i="3" s="1"/>
  <c r="E21" i="3"/>
  <c r="H42" i="3"/>
  <c r="H41" i="3"/>
  <c r="G42" i="3"/>
  <c r="G41" i="3"/>
  <c r="J42" i="3"/>
  <c r="J41" i="3"/>
  <c r="B21" i="3"/>
  <c r="E27" i="3" l="1"/>
  <c r="E29" i="3"/>
  <c r="E28" i="3"/>
  <c r="F28" i="3"/>
  <c r="F29" i="3"/>
  <c r="I41" i="3"/>
  <c r="I42" i="3"/>
</calcChain>
</file>

<file path=xl/sharedStrings.xml><?xml version="1.0" encoding="utf-8"?>
<sst xmlns="http://schemas.openxmlformats.org/spreadsheetml/2006/main" count="360" uniqueCount="213">
  <si>
    <t>VB</t>
  </si>
  <si>
    <t>IIB or IIIB</t>
  </si>
  <si>
    <t>IIA or VA</t>
  </si>
  <si>
    <t>I or II-FR</t>
  </si>
  <si>
    <t>Fire Alarm reduction -250= GPM Hydrant or Tank</t>
  </si>
  <si>
    <t>B</t>
  </si>
  <si>
    <t>Construction Type</t>
  </si>
  <si>
    <t>IV HT or VA</t>
  </si>
  <si>
    <t>GFM</t>
  </si>
  <si>
    <t>u</t>
  </si>
  <si>
    <t>Fire flow based square footage and building type</t>
  </si>
  <si>
    <t>Unmitigated Fire Flow</t>
  </si>
  <si>
    <t>GPM</t>
  </si>
  <si>
    <t xml:space="preserve"> </t>
  </si>
  <si>
    <t xml:space="preserve">Test Limited systems (4 head design ) may be used when GPM is less than 1500 </t>
  </si>
  <si>
    <t>test for under 500 gallons</t>
  </si>
  <si>
    <t>Test occupancy for H</t>
  </si>
  <si>
    <t>Sprinkler reduction 50%</t>
  </si>
  <si>
    <t>Occupancy Types</t>
  </si>
  <si>
    <t>A1</t>
  </si>
  <si>
    <t>A2</t>
  </si>
  <si>
    <t>A3</t>
  </si>
  <si>
    <t>A4</t>
  </si>
  <si>
    <t>A5</t>
  </si>
  <si>
    <t>E</t>
  </si>
  <si>
    <t>F1</t>
  </si>
  <si>
    <t>F2</t>
  </si>
  <si>
    <t>H1</t>
  </si>
  <si>
    <t>H2</t>
  </si>
  <si>
    <t>H3</t>
  </si>
  <si>
    <t>H4</t>
  </si>
  <si>
    <t>H5</t>
  </si>
  <si>
    <t>I1</t>
  </si>
  <si>
    <t>I2</t>
  </si>
  <si>
    <t>I3</t>
  </si>
  <si>
    <t>I4</t>
  </si>
  <si>
    <t>M</t>
  </si>
  <si>
    <t>R1</t>
  </si>
  <si>
    <t>R2</t>
  </si>
  <si>
    <t>R3</t>
  </si>
  <si>
    <t>S1</t>
  </si>
  <si>
    <t>S2</t>
  </si>
  <si>
    <t>U</t>
  </si>
  <si>
    <t>No Fire Flow Required</t>
  </si>
  <si>
    <t>UGA</t>
  </si>
  <si>
    <t>County</t>
  </si>
  <si>
    <t>UGA or County</t>
  </si>
  <si>
    <t>Only tank used to mitigate fire flow of  2000 or less gallons</t>
  </si>
  <si>
    <t xml:space="preserve">Test for Chapter 9 fire area sprinkler system </t>
  </si>
  <si>
    <t>yes</t>
  </si>
  <si>
    <t>no</t>
  </si>
  <si>
    <t xml:space="preserve">Is a fire alarm required?   </t>
  </si>
  <si>
    <t>Pick yes or no</t>
  </si>
  <si>
    <t xml:space="preserve">Does the A1 fire area contain a multi-theatre complex?  </t>
  </si>
  <si>
    <t xml:space="preserve">Does the A2 fire area exceed 5000 square feet?  </t>
  </si>
  <si>
    <t xml:space="preserve">Does any fire area meet the definition of a night club?   </t>
  </si>
  <si>
    <t>Does the A2 fire area have an occupant load of 100 or more.</t>
  </si>
  <si>
    <t xml:space="preserve">Does the A5 fire area contain concession stands, retail areas, press boxes, and accessory areas greater than 1000 square feet?   </t>
  </si>
  <si>
    <t xml:space="preserve">Is this an S1, M, or F1 fire area that is three or more stories above grade?   </t>
  </si>
  <si>
    <t xml:space="preserve">Does the F1 woodworking in an area greater than 2500 square feet create fine dust?  </t>
  </si>
  <si>
    <t xml:space="preserve">Is the M occupancy located more than three stories above grade plane?  </t>
  </si>
  <si>
    <t xml:space="preserve">Does the M occupancy contain high piled combustible storage?  </t>
  </si>
  <si>
    <t xml:space="preserve">Is the repair garage located in a basement?  </t>
  </si>
  <si>
    <t xml:space="preserve">Are there windowless stories?   </t>
  </si>
  <si>
    <t xml:space="preserve">Is there any bulk storage of tires?  </t>
  </si>
  <si>
    <t xml:space="preserve">Is the S-2 a commercial truck or bus garage exceeding 5000 square feet?   </t>
  </si>
  <si>
    <t>Surcharge test</t>
  </si>
  <si>
    <t>Enter the building size</t>
  </si>
  <si>
    <t>Jurisdiction</t>
  </si>
  <si>
    <t>Most Stringent Occupancy</t>
  </si>
  <si>
    <t>Surcharge or credit based on occupancy</t>
  </si>
  <si>
    <t>Read the yellow areas for fire flow information</t>
  </si>
  <si>
    <t>Fill in the blue-green boxes</t>
  </si>
  <si>
    <t>Tank size if less than 2000 GPM</t>
  </si>
  <si>
    <t>Tank size if more than 2000 GPM</t>
  </si>
  <si>
    <t>NA=not applicable</t>
  </si>
  <si>
    <t xml:space="preserve">Chapter 9 sprinklers required?  </t>
  </si>
  <si>
    <t>Yes</t>
  </si>
  <si>
    <t>No</t>
  </si>
  <si>
    <t>Is a fire sprinkler system required by chapter 9?  Answer questions in Chapter 9 tab</t>
  </si>
  <si>
    <t>interpolation worksheet</t>
  </si>
  <si>
    <t>GPM  2</t>
  </si>
  <si>
    <t>GPM 1</t>
  </si>
  <si>
    <t>square feet</t>
  </si>
  <si>
    <t>gallons</t>
  </si>
  <si>
    <t xml:space="preserve">gallons with increase </t>
  </si>
  <si>
    <t>times square feet per gallon</t>
  </si>
  <si>
    <t>gallons per minute 2</t>
  </si>
  <si>
    <t>gallons per minute 1</t>
  </si>
  <si>
    <t>percentage increase in decimal</t>
  </si>
  <si>
    <t xml:space="preserve">For square footage between the gpm, interpolation is allowed when using a credit to gain square footage or if the gpm is limited. </t>
  </si>
  <si>
    <t>Fill in the yellow boxes from the information on the chart in tab 1</t>
  </si>
  <si>
    <t>IIA or IIIA</t>
  </si>
  <si>
    <t>desired square footge</t>
  </si>
  <si>
    <t>gallon per square foot</t>
  </si>
  <si>
    <t>minimum gpm * increase percentage</t>
  </si>
  <si>
    <t xml:space="preserve">allow square footage </t>
  </si>
  <si>
    <t>feet *increase+feet</t>
  </si>
  <si>
    <t xml:space="preserve">Interpolation applies where no credit is available </t>
  </si>
  <si>
    <t xml:space="preserve">increase in using the percent </t>
  </si>
  <si>
    <t>Sprinkler systems are required in all structures over 12000 square feet (this area may be increased as specified in 506) and over 7500 square feet in the UGA</t>
  </si>
  <si>
    <t>Fire Alarm and Detection</t>
  </si>
  <si>
    <t>Auto Heat detection not required where the sprinklers are connected to the FA panel.</t>
  </si>
  <si>
    <t xml:space="preserve">Group A </t>
  </si>
  <si>
    <t xml:space="preserve">Voice communication required when the occupant load is 1000 or more. </t>
  </si>
  <si>
    <t>Live voice not to exceed three minutes may over ride</t>
  </si>
  <si>
    <t xml:space="preserve">Emergency power is required. </t>
  </si>
  <si>
    <t xml:space="preserve">Group B </t>
  </si>
  <si>
    <t>Group E</t>
  </si>
  <si>
    <t>interior corridors have smoke detectors with alarm verification</t>
  </si>
  <si>
    <t>Spaces with dust and vapors have detectors</t>
  </si>
  <si>
    <t>central station monitoring is provided</t>
  </si>
  <si>
    <t>two way communication is provided</t>
  </si>
  <si>
    <t>Exception- pull stations are not required when:</t>
  </si>
  <si>
    <t>Group F</t>
  </si>
  <si>
    <t xml:space="preserve">Group H </t>
  </si>
  <si>
    <t>Manual fire alarm systems in H5 Occupancies and manufacturing</t>
  </si>
  <si>
    <t xml:space="preserve">Automatic detection where covered under IFC chapter 37, 39, or 40. </t>
  </si>
  <si>
    <t xml:space="preserve">Group I </t>
  </si>
  <si>
    <t xml:space="preserve">Red is automatic </t>
  </si>
  <si>
    <t>Automatic fire detectors shall be smoke detectors unless ambient conditions prohibit the installation</t>
  </si>
  <si>
    <t xml:space="preserve">Occupant load over 500 or more </t>
  </si>
  <si>
    <t>Occupant load over 100 above or below the exit discharge</t>
  </si>
  <si>
    <t>central evacuation signal is provided</t>
  </si>
  <si>
    <t>Blue is manual only</t>
  </si>
  <si>
    <t xml:space="preserve">Manual - see 907.2.6 </t>
  </si>
  <si>
    <t>Group I-1</t>
  </si>
  <si>
    <r>
      <t>Automatic</t>
    </r>
    <r>
      <rPr>
        <sz val="10"/>
        <rFont val="Arial"/>
        <family val="2"/>
      </rPr>
      <t xml:space="preserve"> </t>
    </r>
  </si>
  <si>
    <t>not required for exterior balconies</t>
  </si>
  <si>
    <t>Group I-2</t>
  </si>
  <si>
    <t xml:space="preserve">Automatic </t>
  </si>
  <si>
    <t>see exceptions 907.2.6.2</t>
  </si>
  <si>
    <t>Group I-3</t>
  </si>
  <si>
    <r>
      <t xml:space="preserve">Automatic </t>
    </r>
    <r>
      <rPr>
        <b/>
        <sz val="10"/>
        <rFont val="Arial"/>
        <family val="2"/>
      </rPr>
      <t>and</t>
    </r>
    <r>
      <rPr>
        <b/>
        <sz val="10"/>
        <color indexed="12"/>
        <rFont val="Arial"/>
        <family val="2"/>
      </rPr>
      <t xml:space="preserve"> Manual</t>
    </r>
  </si>
  <si>
    <t xml:space="preserve">Presignal systems shall not be used. </t>
  </si>
  <si>
    <t>see section 907.2.6</t>
  </si>
  <si>
    <t>Group M</t>
  </si>
  <si>
    <t>Covered Mall Buildings</t>
  </si>
  <si>
    <t>Occupant notification can be at a monitored station with voice communication</t>
  </si>
  <si>
    <t>Manual systems may be omitted if not more than two stories with noncontiguous spaces and one hour separation of units with direct exit to the exterior and separated from public areas</t>
  </si>
  <si>
    <t xml:space="preserve">Automatic fire systems are required in interior corridors unless each unit has a direct exit. </t>
  </si>
  <si>
    <t xml:space="preserve">Group R-1 </t>
  </si>
  <si>
    <t xml:space="preserve">Group R-2 </t>
  </si>
  <si>
    <t xml:space="preserve">manual  fire systems are required in interior corridors unless each unit has a direct exit. </t>
  </si>
  <si>
    <t>Refer to 907.2.10.1.3  for Fire Alarm requirements</t>
  </si>
  <si>
    <t>Group R-4</t>
  </si>
  <si>
    <t xml:space="preserve">See section 907.9.1 and 907.9.2 for location and type of devices required. </t>
  </si>
  <si>
    <t>added interpolation section 11/30/10</t>
  </si>
  <si>
    <t>Logic</t>
  </si>
  <si>
    <t xml:space="preserve">if only </t>
  </si>
  <si>
    <t>gpm is available for</t>
  </si>
  <si>
    <t xml:space="preserve">gpm available </t>
  </si>
  <si>
    <t>max square footage</t>
  </si>
  <si>
    <t xml:space="preserve">for </t>
  </si>
  <si>
    <t>II</t>
  </si>
  <si>
    <t>Type II construction</t>
  </si>
  <si>
    <t xml:space="preserve">based on an </t>
  </si>
  <si>
    <t>occu</t>
  </si>
  <si>
    <t>surcharge %</t>
  </si>
  <si>
    <t xml:space="preserve">The difference between the lower and upper gpm is </t>
  </si>
  <si>
    <t xml:space="preserve">the difference between the lower and upper square footage is </t>
  </si>
  <si>
    <t xml:space="preserve">square footage / gpm </t>
  </si>
  <si>
    <t xml:space="preserve">gpm/ square footage </t>
  </si>
  <si>
    <t>deduct the square footage for the surcharge   =</t>
  </si>
  <si>
    <t xml:space="preserve">x </t>
  </si>
  <si>
    <t>=</t>
  </si>
  <si>
    <t>max square footage less deduction for the surcharge =</t>
  </si>
  <si>
    <t>1500/5900=1350*x</t>
  </si>
  <si>
    <t>1500x=1350*5900</t>
  </si>
  <si>
    <t xml:space="preserve">Take maximum gpm x surcharge to determine the added gpm </t>
  </si>
  <si>
    <t xml:space="preserve">take the max square footage </t>
  </si>
  <si>
    <t>Do not use not complete</t>
  </si>
  <si>
    <t>corrected minutes for flow over 2000 gpm</t>
  </si>
  <si>
    <t>Only tank used to mitigate fire flow of more than 2000 gallons</t>
  </si>
  <si>
    <t>Tank size if more than 3000 GPM</t>
  </si>
  <si>
    <t>corrected minutes for tank size if oover 3000 gpm</t>
  </si>
  <si>
    <t>UGA requires sprinklers @7500 square feet. Zero = no, One = yes</t>
  </si>
  <si>
    <t>County requires sprinklers @ 12,000 square feet  Zero = no, One = yes</t>
  </si>
  <si>
    <t xml:space="preserve">How this works: </t>
  </si>
  <si>
    <t xml:space="preserve">The information is organized in tabs. </t>
  </si>
  <si>
    <t>For the text on Fire Flow see the Fire flow information</t>
  </si>
  <si>
    <t>For the calculations for Fire Flow see the Fire flow worksheet</t>
  </si>
  <si>
    <t>The chapter 9 tab lists other reasons for sprinkler system that are required by the International Building Code</t>
  </si>
  <si>
    <t>See the Fire Alarm Worksheet for information on when fire alarm are required by the International Building Code</t>
  </si>
  <si>
    <t xml:space="preserve">No autodetection devices and annunication devices are required. </t>
  </si>
  <si>
    <t>MANUAL Alarms - A single pull station may be used where sprinklers are installed throughout the building and the sprinkler system is connect to an FA panel</t>
  </si>
  <si>
    <t>See the code for ambulatory health care facilities.</t>
  </si>
  <si>
    <t xml:space="preserve">Review the code requirements for CO2 devices in residential occupancies </t>
  </si>
  <si>
    <t>Refer to 907.2.9 for Fire Alarm requirements</t>
  </si>
  <si>
    <t xml:space="preserve">Group R-3  </t>
  </si>
  <si>
    <t>Refer to 907.2. 10 for Fire Alarm requirements</t>
  </si>
  <si>
    <t xml:space="preserve">The special occupancy tab for fire alarm is not complete at this time if you have a unique occupancy or portion of an occupancy. Verify in the code that there are no other fire alarm requirements </t>
  </si>
  <si>
    <t>corrected cell line 18 formula</t>
  </si>
  <si>
    <t>Test occupancy for I</t>
  </si>
  <si>
    <t>Mitigated fire flow -additional gpm required if more than 500</t>
  </si>
  <si>
    <t xml:space="preserve">Additional Water required on site to mitigate fire flow due for UGA/ County Limits or to meet the requirements in Chapter 9. </t>
  </si>
  <si>
    <t xml:space="preserve">This is a spread sheet is a synopsis and does not include the complete code language or requirements. </t>
  </si>
  <si>
    <t xml:space="preserve">Credit for fire flow requires an Automatic Fire Alarm system with full coverage and central station monitoring  </t>
  </si>
  <si>
    <t xml:space="preserve">Occupant load of 300 or more. This is an aggregate load unless fire barriers separate the assembly areas. If used for group E, a group E - FA system is required. </t>
  </si>
  <si>
    <t xml:space="preserve">Except occupant loads 30 or less </t>
  </si>
  <si>
    <t xml:space="preserve">Assembly spaces are protected with  detection devices </t>
  </si>
  <si>
    <t>Two or more stories or when  an occupant load over 500 or more above or below the exit discharge</t>
  </si>
  <si>
    <t xml:space="preserve">Refer to the code for special occupancies - Amusement  Highrise, Atruims, High piled combustible Areosal storage  Lumber Underground Residential aircraft hangers  Battery rooms Control towers Duct detectors </t>
  </si>
  <si>
    <t xml:space="preserve">Is the A1,A2, A3 or A4 occupant load greater than 300 or is it on a floor other than the exit discharge?  </t>
  </si>
  <si>
    <t xml:space="preserve">Is this an E occupancy with any classroom having an occupant load greater than 50, are separated portable classrooms in a cluster greater than 5000 square feet?  </t>
  </si>
  <si>
    <t xml:space="preserve">Is this ambulatory care?   </t>
  </si>
  <si>
    <t xml:space="preserve">Is there wood working over 2500 square feet?   </t>
  </si>
  <si>
    <t xml:space="preserve">Is this an R or H occupancy?   </t>
  </si>
  <si>
    <t>version 10/22/13</t>
  </si>
  <si>
    <t>revised for new 2012 code</t>
  </si>
  <si>
    <t>Remaining gallons via a tank</t>
  </si>
  <si>
    <t xml:space="preserve">added lines to enter water available on site </t>
  </si>
  <si>
    <t>enter gallons available at water system hydrants using a minus sign for the number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</si>
</sst>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5" x14ac:knownFonts="1">
    <font>
      <sz val="10"/>
      <name val="Arial"/>
    </font>
    <font>
      <sz val="8"/>
      <name val="Arial"/>
      <family val="2"/>
    </font>
    <font>
      <b/>
      <sz val="10"/>
      <name val="Arial"/>
      <family val="2"/>
    </font>
    <font>
      <b/>
      <sz val="10"/>
      <name val="Arial"/>
      <family val="2"/>
    </font>
    <font>
      <b/>
      <sz val="12"/>
      <name val="Arial"/>
      <family val="2"/>
    </font>
    <font>
      <b/>
      <sz val="16"/>
      <name val="Arial"/>
      <family val="2"/>
    </font>
    <font>
      <b/>
      <sz val="10"/>
      <color indexed="10"/>
      <name val="Arial"/>
      <family val="2"/>
    </font>
    <font>
      <b/>
      <sz val="10"/>
      <color indexed="12"/>
      <name val="Arial"/>
      <family val="2"/>
    </font>
    <font>
      <sz val="10"/>
      <name val="Arial"/>
      <family val="2"/>
    </font>
    <font>
      <sz val="10"/>
      <name val="Arial"/>
      <family val="2"/>
    </font>
    <font>
      <b/>
      <sz val="9"/>
      <name val="Arial"/>
      <family val="2"/>
    </font>
    <font>
      <sz val="9"/>
      <name val="Arial"/>
      <family val="2"/>
    </font>
    <font>
      <sz val="12"/>
      <name val="Arial"/>
      <family val="2"/>
    </font>
    <font>
      <sz val="16"/>
      <name val="Arial"/>
      <family val="2"/>
    </font>
    <font>
      <sz val="14"/>
      <name val="Arial"/>
      <family val="2"/>
    </font>
  </fonts>
  <fills count="20">
    <fill>
      <patternFill patternType="none"/>
    </fill>
    <fill>
      <patternFill patternType="gray125"/>
    </fill>
    <fill>
      <patternFill patternType="solid">
        <fgColor indexed="9"/>
        <bgColor indexed="64"/>
      </patternFill>
    </fill>
    <fill>
      <patternFill patternType="solid">
        <fgColor indexed="55"/>
        <bgColor indexed="64"/>
      </patternFill>
    </fill>
    <fill>
      <patternFill patternType="solid">
        <fgColor indexed="43"/>
        <bgColor indexed="64"/>
      </patternFill>
    </fill>
    <fill>
      <patternFill patternType="solid">
        <fgColor indexed="41"/>
        <bgColor indexed="64"/>
      </patternFill>
    </fill>
    <fill>
      <patternFill patternType="solid">
        <fgColor indexed="26"/>
        <bgColor indexed="64"/>
      </patternFill>
    </fill>
    <fill>
      <patternFill patternType="solid">
        <fgColor indexed="31"/>
        <bgColor indexed="64"/>
      </patternFill>
    </fill>
    <fill>
      <patternFill patternType="solid">
        <fgColor indexed="27"/>
        <bgColor indexed="64"/>
      </patternFill>
    </fill>
    <fill>
      <patternFill patternType="solid">
        <fgColor indexed="51"/>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6" tint="0.39994506668294322"/>
        <bgColor indexed="64"/>
      </patternFill>
    </fill>
    <fill>
      <patternFill patternType="solid">
        <fgColor theme="9" tint="0.39994506668294322"/>
        <bgColor indexed="64"/>
      </patternFill>
    </fill>
    <fill>
      <patternFill patternType="solid">
        <fgColor theme="6" tint="0.59996337778862885"/>
        <bgColor indexed="64"/>
      </patternFill>
    </fill>
    <fill>
      <patternFill patternType="solid">
        <fgColor theme="3" tint="0.79998168889431442"/>
        <bgColor indexed="64"/>
      </patternFill>
    </fill>
    <fill>
      <patternFill patternType="solid">
        <fgColor rgb="FFD3FBFA"/>
        <bgColor indexed="64"/>
      </patternFill>
    </fill>
    <fill>
      <patternFill patternType="solid">
        <fgColor rgb="FFFFFF99"/>
        <bgColor indexed="64"/>
      </patternFill>
    </fill>
    <fill>
      <patternFill patternType="solid">
        <fgColor rgb="FFFF9999"/>
        <bgColor indexed="64"/>
      </patternFill>
    </fill>
    <fill>
      <patternFill patternType="solid">
        <fgColor theme="4" tint="0.59999389629810485"/>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ck">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s>
  <cellStyleXfs count="1">
    <xf numFmtId="0" fontId="0" fillId="0" borderId="0"/>
  </cellStyleXfs>
  <cellXfs count="78">
    <xf numFmtId="0" fontId="0" fillId="0" borderId="0" xfId="0"/>
    <xf numFmtId="49" fontId="0" fillId="0" borderId="0" xfId="0" applyNumberFormat="1" applyAlignment="1">
      <alignment wrapText="1"/>
    </xf>
    <xf numFmtId="0" fontId="0" fillId="0" borderId="0" xfId="0" applyAlignment="1">
      <alignment wrapText="1"/>
    </xf>
    <xf numFmtId="0" fontId="2" fillId="0" borderId="0" xfId="0" applyFont="1" applyAlignment="1">
      <alignment wrapText="1"/>
    </xf>
    <xf numFmtId="49" fontId="2" fillId="0" borderId="0" xfId="0" applyNumberFormat="1" applyFont="1" applyAlignment="1">
      <alignment wrapText="1"/>
    </xf>
    <xf numFmtId="0" fontId="2" fillId="0" borderId="0" xfId="0" applyFont="1"/>
    <xf numFmtId="0" fontId="3" fillId="0" borderId="0" xfId="0" applyFont="1"/>
    <xf numFmtId="0" fontId="0" fillId="2" borderId="0" xfId="0" applyFill="1"/>
    <xf numFmtId="0" fontId="0" fillId="3" borderId="0" xfId="0" applyFill="1"/>
    <xf numFmtId="0" fontId="0" fillId="3" borderId="0" xfId="0" applyFill="1" applyAlignment="1">
      <alignment horizontal="center"/>
    </xf>
    <xf numFmtId="0" fontId="4" fillId="0" borderId="0" xfId="0" applyFont="1" applyAlignment="1">
      <alignment wrapText="1"/>
    </xf>
    <xf numFmtId="0" fontId="0" fillId="4" borderId="1" xfId="0" applyFill="1" applyBorder="1"/>
    <xf numFmtId="0" fontId="0" fillId="3" borderId="0" xfId="0" applyFill="1" applyAlignment="1">
      <alignment wrapText="1"/>
    </xf>
    <xf numFmtId="0" fontId="0" fillId="5" borderId="1" xfId="0" applyFill="1" applyBorder="1" applyAlignment="1">
      <alignment wrapText="1"/>
    </xf>
    <xf numFmtId="0" fontId="0" fillId="0" borderId="0" xfId="0" applyAlignment="1">
      <alignment vertical="center" wrapText="1"/>
    </xf>
    <xf numFmtId="0" fontId="0" fillId="0" borderId="0" xfId="0" applyAlignment="1">
      <alignment horizontal="center" vertical="center"/>
    </xf>
    <xf numFmtId="49" fontId="2" fillId="0" borderId="1" xfId="0" applyNumberFormat="1" applyFont="1" applyBorder="1" applyAlignment="1">
      <alignment vertical="center" wrapText="1"/>
    </xf>
    <xf numFmtId="0" fontId="2" fillId="0" borderId="1" xfId="0" applyFont="1" applyBorder="1" applyAlignment="1">
      <alignment vertical="center" wrapText="1"/>
    </xf>
    <xf numFmtId="0" fontId="0" fillId="2" borderId="2" xfId="0" applyFill="1" applyBorder="1"/>
    <xf numFmtId="0" fontId="0" fillId="0" borderId="2" xfId="0" applyBorder="1"/>
    <xf numFmtId="49" fontId="2" fillId="2" borderId="2" xfId="0" applyNumberFormat="1" applyFont="1" applyFill="1" applyBorder="1" applyAlignment="1">
      <alignment wrapText="1" readingOrder="1"/>
    </xf>
    <xf numFmtId="0" fontId="2" fillId="2" borderId="2" xfId="0" applyFont="1" applyFill="1" applyBorder="1" applyAlignment="1">
      <alignment readingOrder="1"/>
    </xf>
    <xf numFmtId="0" fontId="0" fillId="2" borderId="2" xfId="0" applyFill="1" applyBorder="1" applyAlignment="1">
      <alignment wrapText="1"/>
    </xf>
    <xf numFmtId="49" fontId="2" fillId="2" borderId="2" xfId="0" applyNumberFormat="1" applyFont="1" applyFill="1" applyBorder="1" applyAlignment="1">
      <alignment vertical="center" wrapText="1" readingOrder="1"/>
    </xf>
    <xf numFmtId="0" fontId="2" fillId="0" borderId="2" xfId="0" applyFont="1" applyBorder="1"/>
    <xf numFmtId="0" fontId="4" fillId="0" borderId="2" xfId="0" applyFont="1" applyBorder="1"/>
    <xf numFmtId="0" fontId="0" fillId="2" borderId="2" xfId="0" applyFill="1" applyBorder="1" applyAlignment="1">
      <alignment horizontal="center"/>
    </xf>
    <xf numFmtId="0" fontId="0" fillId="3" borderId="2" xfId="0" applyFill="1" applyBorder="1"/>
    <xf numFmtId="0" fontId="0" fillId="3" borderId="0" xfId="0" applyFill="1" applyAlignment="1">
      <alignment horizontal="right"/>
    </xf>
    <xf numFmtId="49" fontId="2" fillId="0" borderId="0" xfId="0" applyNumberFormat="1" applyFont="1" applyFill="1" applyBorder="1" applyAlignment="1">
      <alignment vertical="center" wrapText="1" readingOrder="1"/>
    </xf>
    <xf numFmtId="0" fontId="0" fillId="6" borderId="1" xfId="0" applyFill="1" applyBorder="1"/>
    <xf numFmtId="0" fontId="0" fillId="7" borderId="0" xfId="0" applyFill="1" applyAlignment="1">
      <alignment wrapText="1"/>
    </xf>
    <xf numFmtId="0" fontId="6" fillId="0" borderId="0" xfId="0" applyFont="1"/>
    <xf numFmtId="0" fontId="7" fillId="0" borderId="0" xfId="0" applyFont="1"/>
    <xf numFmtId="164" fontId="0" fillId="0" borderId="0" xfId="0" applyNumberFormat="1"/>
    <xf numFmtId="0" fontId="9" fillId="0" borderId="0" xfId="0" applyFont="1"/>
    <xf numFmtId="0" fontId="0" fillId="10" borderId="0" xfId="0" applyFill="1"/>
    <xf numFmtId="0" fontId="0" fillId="11" borderId="0" xfId="0" applyFill="1"/>
    <xf numFmtId="0" fontId="0" fillId="12" borderId="0" xfId="0" applyFill="1"/>
    <xf numFmtId="0" fontId="0" fillId="13" borderId="0" xfId="0" applyFill="1"/>
    <xf numFmtId="0" fontId="0" fillId="14" borderId="0" xfId="0" applyFill="1"/>
    <xf numFmtId="0" fontId="0" fillId="15" borderId="0" xfId="0" applyFill="1"/>
    <xf numFmtId="0" fontId="0" fillId="16" borderId="0" xfId="0" applyFill="1"/>
    <xf numFmtId="0" fontId="0" fillId="17" borderId="0" xfId="0" applyFill="1"/>
    <xf numFmtId="0" fontId="0" fillId="18" borderId="0" xfId="0" applyFill="1"/>
    <xf numFmtId="14" fontId="0" fillId="0" borderId="0" xfId="0" applyNumberFormat="1"/>
    <xf numFmtId="49" fontId="10" fillId="0" borderId="1" xfId="0" applyNumberFormat="1" applyFont="1" applyBorder="1" applyAlignment="1">
      <alignment vertical="center" wrapText="1" readingOrder="1"/>
    </xf>
    <xf numFmtId="0" fontId="10" fillId="0" borderId="0" xfId="0" applyFont="1" applyAlignment="1">
      <alignment wrapText="1"/>
    </xf>
    <xf numFmtId="0" fontId="10" fillId="0" borderId="0" xfId="0" applyFont="1"/>
    <xf numFmtId="0" fontId="11" fillId="0" borderId="0" xfId="0" applyFont="1"/>
    <xf numFmtId="49" fontId="11" fillId="8" borderId="1" xfId="0" applyNumberFormat="1" applyFont="1" applyFill="1" applyBorder="1" applyAlignment="1" applyProtection="1">
      <alignment wrapText="1"/>
      <protection locked="0"/>
    </xf>
    <xf numFmtId="0" fontId="11" fillId="0" borderId="0" xfId="0" applyFont="1" applyAlignment="1">
      <alignment wrapText="1"/>
    </xf>
    <xf numFmtId="0" fontId="10" fillId="0" borderId="1" xfId="0" applyFont="1" applyBorder="1" applyAlignment="1">
      <alignment wrapText="1" readingOrder="1"/>
    </xf>
    <xf numFmtId="0" fontId="11" fillId="4" borderId="1" xfId="0" applyFont="1" applyFill="1" applyBorder="1"/>
    <xf numFmtId="0" fontId="11" fillId="4" borderId="1" xfId="0" applyFont="1" applyFill="1" applyBorder="1" applyAlignment="1">
      <alignment wrapText="1"/>
    </xf>
    <xf numFmtId="0" fontId="11" fillId="4" borderId="4" xfId="0" applyFont="1" applyFill="1" applyBorder="1"/>
    <xf numFmtId="49" fontId="10" fillId="0" borderId="1" xfId="0" applyNumberFormat="1" applyFont="1" applyBorder="1" applyAlignment="1">
      <alignment wrapText="1" readingOrder="1"/>
    </xf>
    <xf numFmtId="0" fontId="8" fillId="0" borderId="0" xfId="0" applyFont="1"/>
    <xf numFmtId="0" fontId="8" fillId="0" borderId="0" xfId="0" applyFont="1" applyAlignment="1">
      <alignment wrapText="1"/>
    </xf>
    <xf numFmtId="0" fontId="11" fillId="8" borderId="1" xfId="0" applyFont="1" applyFill="1" applyBorder="1" applyAlignment="1" applyProtection="1">
      <alignment wrapText="1"/>
      <protection locked="0"/>
    </xf>
    <xf numFmtId="0" fontId="12" fillId="0" borderId="0" xfId="0" applyFont="1"/>
    <xf numFmtId="0" fontId="2" fillId="0" borderId="3" xfId="0" applyFont="1" applyBorder="1"/>
    <xf numFmtId="0" fontId="0" fillId="17" borderId="6" xfId="0" applyFill="1" applyBorder="1"/>
    <xf numFmtId="0" fontId="0" fillId="17" borderId="7" xfId="0" applyFill="1" applyBorder="1"/>
    <xf numFmtId="0" fontId="0" fillId="17" borderId="8" xfId="0" applyFill="1" applyBorder="1"/>
    <xf numFmtId="0" fontId="0" fillId="17" borderId="9" xfId="0" applyFill="1" applyBorder="1"/>
    <xf numFmtId="0" fontId="13" fillId="0" borderId="0" xfId="0" applyFont="1"/>
    <xf numFmtId="0" fontId="14" fillId="0" borderId="0" xfId="0" applyFont="1"/>
    <xf numFmtId="0" fontId="11" fillId="17" borderId="1" xfId="0" applyFont="1" applyFill="1" applyBorder="1" applyAlignment="1">
      <alignment wrapText="1"/>
    </xf>
    <xf numFmtId="0" fontId="11" fillId="8" borderId="3" xfId="0" applyFont="1" applyFill="1" applyBorder="1" applyProtection="1">
      <protection locked="0"/>
    </xf>
    <xf numFmtId="0" fontId="11" fillId="19" borderId="1" xfId="0" applyFont="1" applyFill="1" applyBorder="1" applyAlignment="1" applyProtection="1">
      <alignment wrapText="1"/>
      <protection locked="0"/>
    </xf>
    <xf numFmtId="0" fontId="8" fillId="0" borderId="0" xfId="0" applyFont="1" applyAlignment="1">
      <alignment wrapText="1"/>
    </xf>
    <xf numFmtId="0" fontId="0" fillId="0" borderId="0" xfId="0" applyAlignment="1">
      <alignment wrapText="1"/>
    </xf>
    <xf numFmtId="0" fontId="0" fillId="0" borderId="0" xfId="0" applyAlignment="1">
      <alignment horizontal="center" vertical="center" wrapText="1"/>
    </xf>
    <xf numFmtId="0" fontId="5" fillId="0" borderId="0" xfId="0" applyFont="1" applyAlignment="1">
      <alignment horizontal="center" vertical="center" wrapText="1"/>
    </xf>
    <xf numFmtId="0" fontId="2" fillId="9" borderId="5" xfId="0" applyFont="1" applyFill="1" applyBorder="1" applyAlignment="1">
      <alignment wrapText="1"/>
    </xf>
    <xf numFmtId="0" fontId="10" fillId="0" borderId="0" xfId="0" applyFont="1" applyAlignment="1">
      <alignment wrapText="1"/>
    </xf>
    <xf numFmtId="0" fontId="11" fillId="0" borderId="0" xfId="0" applyFont="1" applyAlignment="1"/>
  </cellXfs>
  <cellStyles count="1">
    <cellStyle name="Normal" xfId="0" builtinId="0"/>
  </cellStyles>
  <dxfs count="0"/>
  <tableStyles count="0" defaultTableStyle="TableStyleMedium9" defaultPivotStyle="PivotStyleLight16"/>
  <colors>
    <mruColors>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0</xdr:col>
      <xdr:colOff>38100</xdr:colOff>
      <xdr:row>1</xdr:row>
      <xdr:rowOff>133350</xdr:rowOff>
    </xdr:from>
    <xdr:to>
      <xdr:col>4</xdr:col>
      <xdr:colOff>285750</xdr:colOff>
      <xdr:row>1</xdr:row>
      <xdr:rowOff>133350</xdr:rowOff>
    </xdr:to>
    <xdr:sp macro="" textlink="">
      <xdr:nvSpPr>
        <xdr:cNvPr id="2132" name="Line 1">
          <a:extLst>
            <a:ext uri="{FF2B5EF4-FFF2-40B4-BE49-F238E27FC236}">
              <a16:creationId xmlns:a16="http://schemas.microsoft.com/office/drawing/2014/main" id="{00000000-0008-0000-0100-000054080000}"/>
            </a:ext>
          </a:extLst>
        </xdr:cNvPr>
        <xdr:cNvSpPr>
          <a:spLocks noChangeShapeType="1"/>
        </xdr:cNvSpPr>
      </xdr:nvSpPr>
      <xdr:spPr bwMode="auto">
        <a:xfrm>
          <a:off x="38100" y="504825"/>
          <a:ext cx="4838700" cy="0"/>
        </a:xfrm>
        <a:prstGeom prst="line">
          <a:avLst/>
        </a:prstGeom>
        <a:noFill/>
        <a:ln w="9525">
          <a:noFill/>
          <a:round/>
          <a:headEnd/>
          <a:tailEnd/>
        </a:ln>
      </xdr:spPr>
    </xdr:sp>
    <xdr:clientData/>
  </xdr:twoCellAnchor>
  <xdr:twoCellAnchor editAs="oneCell">
    <xdr:from>
      <xdr:col>0</xdr:col>
      <xdr:colOff>381000</xdr:colOff>
      <xdr:row>1</xdr:row>
      <xdr:rowOff>9525</xdr:rowOff>
    </xdr:from>
    <xdr:to>
      <xdr:col>6</xdr:col>
      <xdr:colOff>3057525</xdr:colOff>
      <xdr:row>58</xdr:row>
      <xdr:rowOff>85725</xdr:rowOff>
    </xdr:to>
    <xdr:pic>
      <xdr:nvPicPr>
        <xdr:cNvPr id="2068" name="Picture 20">
          <a:extLst>
            <a:ext uri="{FF2B5EF4-FFF2-40B4-BE49-F238E27FC236}">
              <a16:creationId xmlns:a16="http://schemas.microsoft.com/office/drawing/2014/main" id="{00000000-0008-0000-0100-000014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0" y="381000"/>
          <a:ext cx="7839075" cy="9886950"/>
        </a:xfrm>
        <a:prstGeom prst="rect">
          <a:avLst/>
        </a:prstGeom>
        <a:noFill/>
      </xdr:spPr>
    </xdr:pic>
    <xdr:clientData/>
  </xdr:twoCellAnchor>
  <xdr:twoCellAnchor editAs="oneCell">
    <xdr:from>
      <xdr:col>6</xdr:col>
      <xdr:colOff>3209925</xdr:colOff>
      <xdr:row>4</xdr:row>
      <xdr:rowOff>133350</xdr:rowOff>
    </xdr:from>
    <xdr:to>
      <xdr:col>18</xdr:col>
      <xdr:colOff>257175</xdr:colOff>
      <xdr:row>58</xdr:row>
      <xdr:rowOff>133350</xdr:rowOff>
    </xdr:to>
    <xdr:pic>
      <xdr:nvPicPr>
        <xdr:cNvPr id="2069" name="Picture 21">
          <a:extLst>
            <a:ext uri="{FF2B5EF4-FFF2-40B4-BE49-F238E27FC236}">
              <a16:creationId xmlns:a16="http://schemas.microsoft.com/office/drawing/2014/main" id="{00000000-0008-0000-0100-00001508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8372475" y="990600"/>
          <a:ext cx="7419975" cy="9324975"/>
        </a:xfrm>
        <a:prstGeom prst="rect">
          <a:avLst/>
        </a:prstGeom>
        <a:noFill/>
      </xdr:spPr>
    </xdr:pic>
    <xdr:clientData/>
  </xdr:twoCellAnchor>
  <xdr:twoCellAnchor editAs="oneCell">
    <xdr:from>
      <xdr:col>0</xdr:col>
      <xdr:colOff>0</xdr:colOff>
      <xdr:row>60</xdr:row>
      <xdr:rowOff>0</xdr:rowOff>
    </xdr:from>
    <xdr:to>
      <xdr:col>6</xdr:col>
      <xdr:colOff>2066925</xdr:colOff>
      <xdr:row>118</xdr:row>
      <xdr:rowOff>114300</xdr:rowOff>
    </xdr:to>
    <xdr:pic>
      <xdr:nvPicPr>
        <xdr:cNvPr id="2070" name="Picture 22">
          <a:extLst>
            <a:ext uri="{FF2B5EF4-FFF2-40B4-BE49-F238E27FC236}">
              <a16:creationId xmlns:a16="http://schemas.microsoft.com/office/drawing/2014/main" id="{00000000-0008-0000-0100-00001608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10506075"/>
          <a:ext cx="7229475" cy="9505950"/>
        </a:xfrm>
        <a:prstGeom prst="rect">
          <a:avLst/>
        </a:prstGeom>
        <a:noFill/>
      </xdr:spPr>
    </xdr:pic>
    <xdr:clientData/>
  </xdr:twoCellAnchor>
  <xdr:twoCellAnchor editAs="oneCell">
    <xdr:from>
      <xdr:col>6</xdr:col>
      <xdr:colOff>2381250</xdr:colOff>
      <xdr:row>61</xdr:row>
      <xdr:rowOff>0</xdr:rowOff>
    </xdr:from>
    <xdr:to>
      <xdr:col>16</xdr:col>
      <xdr:colOff>228600</xdr:colOff>
      <xdr:row>118</xdr:row>
      <xdr:rowOff>123825</xdr:rowOff>
    </xdr:to>
    <xdr:pic>
      <xdr:nvPicPr>
        <xdr:cNvPr id="2071" name="Picture 23">
          <a:extLst>
            <a:ext uri="{FF2B5EF4-FFF2-40B4-BE49-F238E27FC236}">
              <a16:creationId xmlns:a16="http://schemas.microsoft.com/office/drawing/2014/main" id="{00000000-0008-0000-0100-00001708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7543800" y="10668000"/>
          <a:ext cx="7000875" cy="9353550"/>
        </a:xfrm>
        <a:prstGeom prst="rect">
          <a:avLst/>
        </a:prstGeom>
        <a:noFill/>
      </xdr:spPr>
    </xdr:pic>
    <xdr:clientData/>
  </xdr:twoCellAnchor>
  <xdr:twoCellAnchor editAs="oneCell">
    <xdr:from>
      <xdr:col>0</xdr:col>
      <xdr:colOff>0</xdr:colOff>
      <xdr:row>120</xdr:row>
      <xdr:rowOff>0</xdr:rowOff>
    </xdr:from>
    <xdr:to>
      <xdr:col>6</xdr:col>
      <xdr:colOff>2371725</xdr:colOff>
      <xdr:row>179</xdr:row>
      <xdr:rowOff>0</xdr:rowOff>
    </xdr:to>
    <xdr:pic>
      <xdr:nvPicPr>
        <xdr:cNvPr id="2072" name="Picture 24">
          <a:extLst>
            <a:ext uri="{FF2B5EF4-FFF2-40B4-BE49-F238E27FC236}">
              <a16:creationId xmlns:a16="http://schemas.microsoft.com/office/drawing/2014/main" id="{00000000-0008-0000-0100-00001808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0" y="20221575"/>
          <a:ext cx="7534275" cy="9553575"/>
        </a:xfrm>
        <a:prstGeom prst="rect">
          <a:avLst/>
        </a:prstGeom>
        <a:noFill/>
      </xdr:spPr>
    </xdr:pic>
    <xdr:clientData/>
  </xdr:twoCellAnchor>
  <xdr:twoCellAnchor editAs="oneCell">
    <xdr:from>
      <xdr:col>6</xdr:col>
      <xdr:colOff>2590800</xdr:colOff>
      <xdr:row>119</xdr:row>
      <xdr:rowOff>0</xdr:rowOff>
    </xdr:from>
    <xdr:to>
      <xdr:col>16</xdr:col>
      <xdr:colOff>57150</xdr:colOff>
      <xdr:row>140</xdr:row>
      <xdr:rowOff>85725</xdr:rowOff>
    </xdr:to>
    <xdr:pic>
      <xdr:nvPicPr>
        <xdr:cNvPr id="2073" name="Picture 25">
          <a:extLst>
            <a:ext uri="{FF2B5EF4-FFF2-40B4-BE49-F238E27FC236}">
              <a16:creationId xmlns:a16="http://schemas.microsoft.com/office/drawing/2014/main" id="{00000000-0008-0000-0100-00001908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7753350" y="20059650"/>
          <a:ext cx="6619875" cy="3486150"/>
        </a:xfrm>
        <a:prstGeom prst="rect">
          <a:avLst/>
        </a:prstGeom>
        <a:noFill/>
      </xdr:spPr>
    </xdr:pic>
    <xdr:clientData/>
  </xdr:twoCellAnchor>
  <xdr:twoCellAnchor editAs="oneCell">
    <xdr:from>
      <xdr:col>0</xdr:col>
      <xdr:colOff>0</xdr:colOff>
      <xdr:row>180</xdr:row>
      <xdr:rowOff>0</xdr:rowOff>
    </xdr:from>
    <xdr:to>
      <xdr:col>6</xdr:col>
      <xdr:colOff>2600325</xdr:colOff>
      <xdr:row>241</xdr:row>
      <xdr:rowOff>114300</xdr:rowOff>
    </xdr:to>
    <xdr:pic>
      <xdr:nvPicPr>
        <xdr:cNvPr id="2074" name="Picture 26">
          <a:extLst>
            <a:ext uri="{FF2B5EF4-FFF2-40B4-BE49-F238E27FC236}">
              <a16:creationId xmlns:a16="http://schemas.microsoft.com/office/drawing/2014/main" id="{00000000-0008-0000-0100-00001A08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0" y="29937075"/>
          <a:ext cx="7762875" cy="9991725"/>
        </a:xfrm>
        <a:prstGeom prst="rect">
          <a:avLst/>
        </a:prstGeom>
        <a:noFill/>
      </xdr:spPr>
    </xdr:pic>
    <xdr:clientData/>
  </xdr:twoCellAnchor>
  <xdr:twoCellAnchor editAs="oneCell">
    <xdr:from>
      <xdr:col>7</xdr:col>
      <xdr:colOff>0</xdr:colOff>
      <xdr:row>180</xdr:row>
      <xdr:rowOff>0</xdr:rowOff>
    </xdr:from>
    <xdr:to>
      <xdr:col>19</xdr:col>
      <xdr:colOff>104775</xdr:colOff>
      <xdr:row>237</xdr:row>
      <xdr:rowOff>47625</xdr:rowOff>
    </xdr:to>
    <xdr:pic>
      <xdr:nvPicPr>
        <xdr:cNvPr id="2075" name="Picture 27">
          <a:extLst>
            <a:ext uri="{FF2B5EF4-FFF2-40B4-BE49-F238E27FC236}">
              <a16:creationId xmlns:a16="http://schemas.microsoft.com/office/drawing/2014/main" id="{00000000-0008-0000-0100-00001B08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8829675" y="29937075"/>
          <a:ext cx="7419975" cy="927735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38100</xdr:colOff>
      <xdr:row>0</xdr:row>
      <xdr:rowOff>0</xdr:rowOff>
    </xdr:from>
    <xdr:to>
      <xdr:col>4</xdr:col>
      <xdr:colOff>285750</xdr:colOff>
      <xdr:row>0</xdr:row>
      <xdr:rowOff>0</xdr:rowOff>
    </xdr:to>
    <xdr:sp macro="" textlink="">
      <xdr:nvSpPr>
        <xdr:cNvPr id="1104" name="Line 5">
          <a:extLst>
            <a:ext uri="{FF2B5EF4-FFF2-40B4-BE49-F238E27FC236}">
              <a16:creationId xmlns:a16="http://schemas.microsoft.com/office/drawing/2014/main" id="{00000000-0008-0000-0300-000050040000}"/>
            </a:ext>
          </a:extLst>
        </xdr:cNvPr>
        <xdr:cNvSpPr>
          <a:spLocks noChangeShapeType="1"/>
        </xdr:cNvSpPr>
      </xdr:nvSpPr>
      <xdr:spPr bwMode="auto">
        <a:xfrm>
          <a:off x="38100" y="0"/>
          <a:ext cx="6267450" cy="0"/>
        </a:xfrm>
        <a:prstGeom prst="line">
          <a:avLst/>
        </a:prstGeom>
        <a:noFill/>
        <a:ln w="9525">
          <a:noFill/>
          <a:round/>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dimension ref="A1:K12"/>
  <sheetViews>
    <sheetView workbookViewId="0">
      <selection activeCell="A22" sqref="A22"/>
    </sheetView>
  </sheetViews>
  <sheetFormatPr defaultRowHeight="12.75" x14ac:dyDescent="0.2"/>
  <cols>
    <col min="1" max="1" width="25.5703125" customWidth="1"/>
  </cols>
  <sheetData>
    <row r="1" spans="1:11" ht="20.25" x14ac:dyDescent="0.3">
      <c r="A1" s="66" t="s">
        <v>178</v>
      </c>
      <c r="C1" s="5" t="s">
        <v>179</v>
      </c>
    </row>
    <row r="2" spans="1:11" ht="20.25" x14ac:dyDescent="0.3">
      <c r="A2" s="66"/>
      <c r="C2" s="5"/>
    </row>
    <row r="3" spans="1:11" ht="18" x14ac:dyDescent="0.25">
      <c r="B3" s="67" t="s">
        <v>196</v>
      </c>
      <c r="C3" s="60"/>
      <c r="D3" s="60"/>
      <c r="E3" s="60"/>
      <c r="F3" s="60"/>
      <c r="G3" s="60"/>
      <c r="H3" s="60"/>
      <c r="I3" s="60"/>
      <c r="J3" s="60"/>
      <c r="K3" s="60"/>
    </row>
    <row r="4" spans="1:11" ht="18" x14ac:dyDescent="0.25">
      <c r="B4" s="67" t="s">
        <v>180</v>
      </c>
    </row>
    <row r="5" spans="1:11" ht="18" x14ac:dyDescent="0.25">
      <c r="B5" s="67" t="s">
        <v>181</v>
      </c>
    </row>
    <row r="6" spans="1:11" ht="18" x14ac:dyDescent="0.25">
      <c r="B6" s="67" t="s">
        <v>182</v>
      </c>
    </row>
    <row r="7" spans="1:11" ht="18" x14ac:dyDescent="0.25">
      <c r="B7" s="67" t="s">
        <v>183</v>
      </c>
    </row>
    <row r="12" spans="1:11" ht="51" customHeight="1" x14ac:dyDescent="0.2">
      <c r="B12" s="71" t="s">
        <v>191</v>
      </c>
      <c r="C12" s="72"/>
      <c r="D12" s="72"/>
      <c r="E12" s="72"/>
      <c r="F12" s="72"/>
    </row>
  </sheetData>
  <customSheetViews>
    <customSheetView guid="{4770F18A-B840-4B20-A42E-C86FB8C2CAA9}">
      <selection activeCell="A22" sqref="A22"/>
      <pageMargins left="0.7" right="0.7" top="0.75" bottom="0.75" header="0.3" footer="0.3"/>
      <pageSetup orientation="portrait" r:id="rId1"/>
    </customSheetView>
  </customSheetViews>
  <mergeCells count="1">
    <mergeCell ref="B12:F12"/>
  </mergeCell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4"/>
  </sheetPr>
  <dimension ref="A1:M87"/>
  <sheetViews>
    <sheetView topLeftCell="A169" workbookViewId="0">
      <selection activeCell="H181" sqref="H181"/>
    </sheetView>
  </sheetViews>
  <sheetFormatPr defaultRowHeight="12.75" x14ac:dyDescent="0.2"/>
  <cols>
    <col min="1" max="1" width="54" customWidth="1"/>
    <col min="2" max="2" width="6.5703125" customWidth="1"/>
    <col min="3" max="3" width="4.42578125" customWidth="1"/>
    <col min="4" max="4" width="4.85546875" customWidth="1"/>
    <col min="5" max="5" width="3.28515625" customWidth="1"/>
    <col min="6" max="6" width="4.28515625" customWidth="1"/>
    <col min="7" max="7" width="55" customWidth="1"/>
  </cols>
  <sheetData>
    <row r="1" spans="1:13" ht="29.25" customHeight="1" x14ac:dyDescent="0.2">
      <c r="A1" s="74"/>
      <c r="B1" s="73"/>
      <c r="C1" s="73"/>
      <c r="D1" s="73"/>
      <c r="E1" s="73"/>
      <c r="F1" s="73"/>
      <c r="G1" s="73"/>
      <c r="H1" s="72"/>
      <c r="I1" s="15"/>
      <c r="J1" s="15"/>
      <c r="K1" s="15"/>
      <c r="L1" s="15"/>
      <c r="M1" s="15"/>
    </row>
    <row r="2" spans="1:13" x14ac:dyDescent="0.2">
      <c r="A2" s="72"/>
      <c r="B2" s="72"/>
      <c r="C2" s="72"/>
      <c r="D2" s="72"/>
      <c r="E2" s="72"/>
      <c r="F2" s="72"/>
      <c r="G2" s="72"/>
      <c r="H2" s="72"/>
      <c r="I2" s="15"/>
      <c r="J2" s="15"/>
      <c r="K2" s="15"/>
      <c r="L2" s="15"/>
      <c r="M2" s="15"/>
    </row>
    <row r="3" spans="1:13" x14ac:dyDescent="0.2">
      <c r="A3" s="72"/>
      <c r="B3" s="72"/>
      <c r="C3" s="72"/>
      <c r="D3" s="72"/>
      <c r="E3" s="72"/>
      <c r="F3" s="72"/>
      <c r="G3" s="72"/>
      <c r="H3" s="72"/>
      <c r="I3" s="15"/>
      <c r="J3" s="15"/>
      <c r="K3" s="15"/>
      <c r="L3" s="15"/>
      <c r="M3" s="15"/>
    </row>
    <row r="4" spans="1:13" x14ac:dyDescent="0.2">
      <c r="A4" s="72"/>
      <c r="B4" s="72"/>
      <c r="C4" s="72"/>
      <c r="D4" s="72"/>
      <c r="E4" s="72"/>
      <c r="F4" s="72"/>
      <c r="G4" s="72"/>
      <c r="H4" s="72"/>
      <c r="I4" s="15"/>
      <c r="J4" s="15"/>
      <c r="K4" s="15"/>
      <c r="L4" s="15"/>
      <c r="M4" s="15"/>
    </row>
    <row r="5" spans="1:13" ht="32.25" customHeight="1" x14ac:dyDescent="0.2">
      <c r="A5" s="72"/>
      <c r="B5" s="72"/>
      <c r="C5" s="72"/>
      <c r="D5" s="72"/>
      <c r="E5" s="72"/>
      <c r="F5" s="72"/>
      <c r="G5" s="72"/>
      <c r="H5" s="72"/>
      <c r="I5" s="15"/>
      <c r="J5" s="15"/>
      <c r="K5" s="15"/>
      <c r="L5" s="15"/>
      <c r="M5" s="15"/>
    </row>
    <row r="6" spans="1:13" ht="17.25" customHeight="1" x14ac:dyDescent="0.2">
      <c r="A6" s="72"/>
      <c r="B6" s="72"/>
      <c r="C6" s="72"/>
      <c r="D6" s="72"/>
      <c r="E6" s="72"/>
      <c r="F6" s="72"/>
      <c r="G6" s="72"/>
      <c r="H6" s="72"/>
      <c r="I6" s="15"/>
      <c r="J6" s="15"/>
      <c r="K6" s="15"/>
      <c r="L6" s="15"/>
      <c r="M6" s="15"/>
    </row>
    <row r="7" spans="1:13" ht="19.5" customHeight="1" x14ac:dyDescent="0.2">
      <c r="A7" s="72"/>
      <c r="B7" s="72"/>
      <c r="C7" s="72"/>
      <c r="D7" s="72"/>
      <c r="E7" s="72"/>
      <c r="F7" s="72"/>
      <c r="G7" s="72"/>
      <c r="H7" s="72"/>
      <c r="I7" s="15"/>
      <c r="J7" s="15"/>
      <c r="K7" s="15"/>
      <c r="L7" s="15"/>
      <c r="M7" s="15"/>
    </row>
    <row r="8" spans="1:13" ht="21.75" customHeight="1" x14ac:dyDescent="0.2">
      <c r="A8" s="72"/>
      <c r="B8" s="72"/>
      <c r="C8" s="72"/>
      <c r="D8" s="72"/>
      <c r="E8" s="72"/>
      <c r="F8" s="72"/>
      <c r="G8" s="72"/>
      <c r="H8" s="72"/>
      <c r="I8" s="15"/>
      <c r="J8" s="15"/>
      <c r="K8" s="15"/>
      <c r="L8" s="15"/>
      <c r="M8" s="15"/>
    </row>
    <row r="9" spans="1:13" ht="18.75" customHeight="1" x14ac:dyDescent="0.2">
      <c r="A9" s="73"/>
      <c r="B9" s="73"/>
      <c r="C9" s="73"/>
      <c r="D9" s="73"/>
      <c r="E9" s="73"/>
      <c r="F9" s="15"/>
      <c r="G9" s="15"/>
      <c r="H9" s="15"/>
      <c r="I9" s="15"/>
      <c r="J9" s="15"/>
      <c r="K9" s="15"/>
      <c r="L9" s="15"/>
      <c r="M9" s="15"/>
    </row>
    <row r="10" spans="1:13" x14ac:dyDescent="0.2">
      <c r="A10" s="15"/>
      <c r="B10" s="15"/>
      <c r="C10" s="15"/>
      <c r="D10" s="15"/>
      <c r="E10" s="15"/>
      <c r="F10" s="15"/>
      <c r="G10" s="15"/>
      <c r="H10" s="15"/>
      <c r="I10" s="15"/>
      <c r="J10" s="15"/>
      <c r="K10" s="15"/>
      <c r="L10" s="15"/>
      <c r="M10" s="15"/>
    </row>
    <row r="11" spans="1:13" x14ac:dyDescent="0.2">
      <c r="A11" s="15"/>
      <c r="B11" s="15"/>
      <c r="C11" s="15"/>
      <c r="D11" s="15"/>
      <c r="E11" s="15"/>
      <c r="F11" s="15"/>
      <c r="G11" s="15"/>
      <c r="H11" s="15"/>
      <c r="I11" s="15"/>
      <c r="J11" s="15"/>
      <c r="K11" s="15"/>
      <c r="L11" s="15"/>
      <c r="M11" s="15"/>
    </row>
    <row r="12" spans="1:13" x14ac:dyDescent="0.2">
      <c r="A12" s="15"/>
      <c r="B12" s="15"/>
      <c r="C12" s="15"/>
      <c r="D12" s="15"/>
      <c r="E12" s="15"/>
      <c r="F12" s="15"/>
      <c r="G12" s="15"/>
      <c r="H12" s="15"/>
      <c r="I12" s="15"/>
      <c r="J12" s="15"/>
      <c r="K12" s="15"/>
      <c r="L12" s="15"/>
      <c r="M12" s="15"/>
    </row>
    <row r="13" spans="1:13" x14ac:dyDescent="0.2">
      <c r="A13" s="15"/>
      <c r="B13" s="15"/>
      <c r="C13" s="15"/>
      <c r="D13" s="15"/>
      <c r="E13" s="15"/>
      <c r="F13" s="15"/>
      <c r="G13" s="15"/>
      <c r="H13" s="15"/>
      <c r="I13" s="15"/>
      <c r="J13" s="15"/>
      <c r="K13" s="15"/>
      <c r="L13" s="15"/>
      <c r="M13" s="15"/>
    </row>
    <row r="14" spans="1:13" x14ac:dyDescent="0.2">
      <c r="A14" s="15"/>
      <c r="B14" s="15"/>
      <c r="C14" s="15"/>
      <c r="D14" s="15"/>
      <c r="E14" s="15"/>
      <c r="F14" s="15"/>
      <c r="G14" s="15"/>
      <c r="H14" s="15"/>
      <c r="I14" s="15"/>
      <c r="J14" s="15"/>
      <c r="K14" s="15"/>
      <c r="L14" s="15"/>
      <c r="M14" s="15"/>
    </row>
    <row r="87" spans="9:9" x14ac:dyDescent="0.2">
      <c r="I87" t="s">
        <v>13</v>
      </c>
    </row>
  </sheetData>
  <customSheetViews>
    <customSheetView guid="{4770F18A-B840-4B20-A42E-C86FB8C2CAA9}" topLeftCell="A169">
      <selection activeCell="H181" sqref="H181"/>
      <pageMargins left="0.75" right="0.75" top="1" bottom="1" header="0.5" footer="0.5"/>
      <pageSetup orientation="portrait" r:id="rId1"/>
      <headerFooter alignWithMargins="0"/>
    </customSheetView>
  </customSheetViews>
  <mergeCells count="2">
    <mergeCell ref="A9:E9"/>
    <mergeCell ref="A1:H8"/>
  </mergeCells>
  <phoneticPr fontId="1" type="noConversion"/>
  <pageMargins left="0.75" right="0.75" top="1" bottom="1" header="0.5" footer="0.5"/>
  <pageSetup orientation="portrait" r:id="rId2"/>
  <headerFooter alignWithMargins="0"/>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indexed="52"/>
  </sheetPr>
  <dimension ref="A1:R177"/>
  <sheetViews>
    <sheetView tabSelected="1" topLeftCell="A4" zoomScale="85" zoomScaleNormal="85" workbookViewId="0">
      <selection activeCell="C27" sqref="C26:C27"/>
    </sheetView>
  </sheetViews>
  <sheetFormatPr defaultRowHeight="12.75" x14ac:dyDescent="0.2"/>
  <cols>
    <col min="1" max="1" width="44.5703125" style="2" customWidth="1"/>
    <col min="2" max="2" width="24.28515625" customWidth="1"/>
    <col min="3" max="3" width="24.5703125" customWidth="1"/>
    <col min="4" max="4" width="19.85546875" style="2" customWidth="1"/>
    <col min="5" max="5" width="12.42578125" customWidth="1"/>
    <col min="6" max="6" width="11.85546875" customWidth="1"/>
    <col min="7" max="7" width="14.28515625" customWidth="1"/>
  </cols>
  <sheetData>
    <row r="1" spans="1:18" ht="93" customHeight="1" x14ac:dyDescent="0.25">
      <c r="A1" s="10" t="s">
        <v>72</v>
      </c>
      <c r="B1" s="2"/>
      <c r="D1" s="75" t="s">
        <v>100</v>
      </c>
      <c r="E1" s="72"/>
      <c r="G1" t="s">
        <v>208</v>
      </c>
    </row>
    <row r="2" spans="1:18" ht="37.5" customHeight="1" x14ac:dyDescent="0.2">
      <c r="A2" s="47" t="s">
        <v>67</v>
      </c>
      <c r="B2" s="47" t="s">
        <v>69</v>
      </c>
      <c r="C2" s="48" t="s">
        <v>68</v>
      </c>
      <c r="D2" s="76" t="s">
        <v>79</v>
      </c>
      <c r="E2" s="77"/>
      <c r="F2" s="49"/>
    </row>
    <row r="3" spans="1:18" x14ac:dyDescent="0.2">
      <c r="A3" s="59">
        <v>357212</v>
      </c>
      <c r="B3" s="50" t="s">
        <v>40</v>
      </c>
      <c r="C3" s="69" t="s">
        <v>45</v>
      </c>
      <c r="D3" s="59" t="s">
        <v>77</v>
      </c>
      <c r="E3" s="49"/>
      <c r="F3" s="49"/>
    </row>
    <row r="4" spans="1:18" x14ac:dyDescent="0.2">
      <c r="A4" s="51" t="s">
        <v>13</v>
      </c>
      <c r="B4" s="48" t="s">
        <v>71</v>
      </c>
      <c r="C4" s="49"/>
      <c r="D4" s="51"/>
      <c r="E4" s="49"/>
      <c r="F4" s="49"/>
    </row>
    <row r="5" spans="1:18" x14ac:dyDescent="0.2">
      <c r="A5" s="51"/>
      <c r="B5" s="49"/>
      <c r="C5" s="48" t="s">
        <v>6</v>
      </c>
      <c r="D5" s="51"/>
      <c r="E5" s="49"/>
      <c r="F5" s="49"/>
      <c r="N5" s="8"/>
      <c r="O5" s="8"/>
      <c r="P5" s="9" t="s">
        <v>12</v>
      </c>
      <c r="Q5" s="8"/>
      <c r="R5" s="8"/>
    </row>
    <row r="6" spans="1:18" x14ac:dyDescent="0.2">
      <c r="A6" s="51"/>
      <c r="B6" s="48" t="s">
        <v>3</v>
      </c>
      <c r="C6" s="48" t="s">
        <v>92</v>
      </c>
      <c r="D6" s="47" t="s">
        <v>7</v>
      </c>
      <c r="E6" s="48" t="s">
        <v>1</v>
      </c>
      <c r="F6" s="48" t="s">
        <v>0</v>
      </c>
      <c r="N6" s="9" t="s">
        <v>3</v>
      </c>
      <c r="O6" s="9" t="s">
        <v>2</v>
      </c>
      <c r="P6" s="9" t="s">
        <v>7</v>
      </c>
      <c r="Q6" s="9" t="s">
        <v>1</v>
      </c>
      <c r="R6" s="9" t="s">
        <v>0</v>
      </c>
    </row>
    <row r="7" spans="1:18" x14ac:dyDescent="0.2">
      <c r="A7" s="52" t="s">
        <v>10</v>
      </c>
      <c r="B7" s="53">
        <f>IF(N$23&lt;=500,F1,IF(N$23=0,"no fire flow",N23))</f>
        <v>6000</v>
      </c>
      <c r="C7" s="53">
        <f>IF(O$23&lt;=500,G1,O$23)</f>
        <v>6000</v>
      </c>
      <c r="D7" s="54">
        <f>IF(P$23&lt;=500,#REF!,P$23)</f>
        <v>8000</v>
      </c>
      <c r="E7" s="53">
        <f>IF(Q$23&lt;=500,#REF!,Q$23)</f>
        <v>8000</v>
      </c>
      <c r="F7" s="55">
        <f>IF($R$23&lt;=500,N17,$R$23)</f>
        <v>8000</v>
      </c>
      <c r="H7" s="35" t="s">
        <v>147</v>
      </c>
      <c r="M7" t="s">
        <v>13</v>
      </c>
      <c r="N7" s="8">
        <f>(IF($A$3&gt;30200,0,(IF($A$3&gt;=22751,$E$71,(IF($A$3&gt;=15901,$E$70,(IF($A$3&gt;=11101,$E$69,(IF($A$3&gt;=7801,$E$68,(IF($A$3&gt;5500,$E$67,(IF($A$3&lt;=5500,$N$17,0))))))))))))))</f>
        <v>0</v>
      </c>
      <c r="O7" s="8">
        <f>(IF($A$3&gt;17000,0,(IF($A$3&gt;=12701,$E$71,(IF($A$3&gt;=9301,$E$70,(IF($A$3&gt;=6801,$E$69,(IF($A$3&gt;=5001,$E$68,(IF($A$3&gt;3700,$E$67,(IF($A$3&lt;=3700,$N$17,0))))))))))))))</f>
        <v>0</v>
      </c>
      <c r="P7" s="8">
        <f>(IF($A$3&gt;10900,0,(IF($A$3&gt;=8201,$E$71,(IF($A$3&gt;=6201,$E$70,(IF($A$3&gt;=4701,$E$69,(IF($A$3&gt;=3501,$E$68,(IF($A$3&gt;2600,$E$67,(IF($A$3&lt;=2600,$N$17,0))))))))))))))</f>
        <v>0</v>
      </c>
      <c r="Q7" s="8">
        <f>(IF($A$3&gt;7900,0,(IF($A$3&gt;=5901,$E$71,(IF($A$3&gt;=4501,$E$70,(IF($A$3&gt;=3501,$E$69,(IF($A$3&gt;=2701,$E$68,(IF($A$3&gt;2100,$E$67,(IF($A$3&lt;=2100,$N$17,0))))))))))))))</f>
        <v>0</v>
      </c>
      <c r="R7" s="8">
        <f>(IF($A$3&gt;4800,0,(IF($A$3&gt;=3601,$E$71,(IF($A$3&gt;=2901,$E$70,(IF($A$3&gt;=2401,$E$69,(IF($A$3&gt;=2001,$E$68,(IF($A$3&gt;1600,$E$67,(IF($A$3&lt;=1600,$N$17,0))))))))))))))</f>
        <v>0</v>
      </c>
    </row>
    <row r="8" spans="1:18" x14ac:dyDescent="0.2">
      <c r="A8" s="52" t="s">
        <v>70</v>
      </c>
      <c r="B8" s="53">
        <f>SUM((B7*$B$73))</f>
        <v>600</v>
      </c>
      <c r="C8" s="53">
        <f>SUM((C7*$B$73))</f>
        <v>600</v>
      </c>
      <c r="D8" s="54">
        <f>SUM((D7*$B$73))</f>
        <v>800</v>
      </c>
      <c r="E8" s="53">
        <f>SUM((E7*$B$73))</f>
        <v>800</v>
      </c>
      <c r="F8" s="53">
        <f>SUM((F7*$B$73))</f>
        <v>800</v>
      </c>
      <c r="H8" t="s">
        <v>172</v>
      </c>
      <c r="N8" s="8">
        <f>(IF($A$3&gt;97700,0,(IF($A$3&gt;=83701,$E$77,(IF($A$3&gt;=70901,$E$76,(IF($A$3&gt;=59001,$E$75,(IF($A$3&gt;=48301,$E$74,(IF($A$3&gt;=38701,$E$73,(IF($A$3&gt;30200,$E$72,0))))))))))))))</f>
        <v>0</v>
      </c>
      <c r="O8" s="8">
        <f>(IF($A$3&gt;54900,0,(IF($A$3&gt;=47101,$E$77,(IF($A$3&gt;=39701,$E$76,(IF($A$3&gt;=33201,$E$75,(IF($A$3&gt;=24201,$E$74,(IF($A$3&gt;=21801,$E$73,(IF($A$3&gt;17000,$E$72,0))))))))))))))</f>
        <v>0</v>
      </c>
      <c r="P8" s="8">
        <f>(IF($A$3&gt;35200,0,(IF($A$3&gt;=31101,$E$77,(IF($A$3&gt;=25501,$E$76,(IF($A$3&gt;=21301,$E$75,(IF($A$3&gt;=17401,$E$74,(IF($A$3&gt;=12901,$E$73,(IF($A$3&gt;10900,$E$72,0))))))))))))))</f>
        <v>0</v>
      </c>
      <c r="Q8" s="8">
        <f>(IF($A$3&gt;25900,0,(IF($A$3&gt;=21801,$E$77,(IF($A$3&gt;=18401,$E$76,(IF($A$3&gt;=15401,$E$75,(IF($A$3&gt;=12601,$E$74,(IF($A$3&gt;=9801,$E$73,(IF($A$3&gt;7900,$E$72,0))))))))))))))</f>
        <v>0</v>
      </c>
      <c r="R8" s="8">
        <f>(IF($A$3&gt;15600,0,(IF($A$3&gt;=13401,$E$77,(IF($A$3&gt;=11301,$E$76,(IF($A$3&gt;=9401,$E$75,(IF($A$3&gt;=7701,$E$74,(IF($A$3&gt;=6201,$E$73,(IF($A$3&gt;4800,$E$72,0))))))))))))))</f>
        <v>0</v>
      </c>
    </row>
    <row r="9" spans="1:18" x14ac:dyDescent="0.2">
      <c r="A9" s="52" t="s">
        <v>11</v>
      </c>
      <c r="B9" s="53">
        <f>SUM(B7:B8)</f>
        <v>6600</v>
      </c>
      <c r="C9" s="53">
        <f>SUM(C7:C8)</f>
        <v>6600</v>
      </c>
      <c r="D9" s="54">
        <f>SUM(D7:D8)</f>
        <v>8800</v>
      </c>
      <c r="E9" s="53">
        <f>SUM(E7:E8)</f>
        <v>8800</v>
      </c>
      <c r="F9" s="53">
        <f>SUM(F7:F8)</f>
        <v>8800</v>
      </c>
      <c r="G9" s="45">
        <v>40634</v>
      </c>
      <c r="H9" t="s">
        <v>175</v>
      </c>
      <c r="N9" s="8">
        <f>(IF($A$3&gt;203700,0,(IF($A$3&gt;=183401,$E$83,(IF($A$3&gt;=164201,$E$82,(IF($A$3&gt;=145901,$E$81,(IF($A$3&gt;=128700,$E$80,(IF($A$3&gt;=112700,$E$79,(IF($A$3&gt;97700,$E$78,0))))))))))))))</f>
        <v>0</v>
      </c>
      <c r="O9" s="8">
        <f>(IF($A$3&gt;114600,0,(IF($A$3&gt;=103101,$E$83,(IF($A$3&gt;=92401,$E$82,(IF($A$3&gt;=82101,$E$81,(IF($A$3&gt;=72401,$E$80,(IF($A$3&gt;=63401,$E$79,(IF($A$3&gt;54900,$E$78,0))))))))))))))</f>
        <v>0</v>
      </c>
      <c r="P9" s="8">
        <f>(IF($A$3&gt;73300,0,(IF($A$3&gt;=66001,$E$83,(IF($A$3&gt;=59101,$E$82,(IF($A$3&gt;=52501,$E$81,(IF($A$3&gt;=46401,$E$80,(IF($A$3&gt;=40601,$E$79,(IF($A$3&gt;35200,$E$78,0))))))))))))))</f>
        <v>0</v>
      </c>
      <c r="Q9" s="8">
        <f>(IF($A$3&gt;53000,0,(IF($A$3&gt;=47701,$E$83,(IF($A$3&gt;=42701,$E$82,(IF($A$3&gt;=37901,$E$81,(IF($A$3&gt;=33501,$E$80,(IF($A$3&gt;=29301,$E$79,(IF($A$3&gt;25900,$E$78,0))))))))))))))</f>
        <v>0</v>
      </c>
      <c r="R9" s="8">
        <f>(IF($A$3&gt;32600,0,(IF($A$3&gt;=29301,$E$83,(IF($A$3&gt;=26301,$E$82,(IF($A$3&gt;=23301,$E$81,(IF($A$3&gt;=20601,$E$80,(IF($A$3&gt;=18001,$E$79,(IF($A$3&gt;15600,$E$78,0))))))))))))))</f>
        <v>0</v>
      </c>
    </row>
    <row r="10" spans="1:18" ht="24" x14ac:dyDescent="0.2">
      <c r="A10" s="52" t="s">
        <v>47</v>
      </c>
      <c r="B10" s="53">
        <f>IF(B9&lt;2000,+B9*60,IF(B9&lt;501,0,0))</f>
        <v>0</v>
      </c>
      <c r="C10" s="53">
        <f>IF(C9&lt;2000,+C9*60,IF(C9&lt;501,0,0))</f>
        <v>0</v>
      </c>
      <c r="D10" s="54">
        <f>IF(D9&lt;2000,+D9*60,IF(D9&lt;501,0,0))</f>
        <v>0</v>
      </c>
      <c r="E10" s="53">
        <f>IF(E9&lt;2000,+E9*60,IF(E9&lt;501,0,0))</f>
        <v>0</v>
      </c>
      <c r="F10" s="53">
        <f>IF(F9&lt;=2000,+F9*60,IF(F9&lt;501,0,0))</f>
        <v>0</v>
      </c>
      <c r="G10" s="45">
        <v>41443</v>
      </c>
      <c r="H10" s="57" t="s">
        <v>192</v>
      </c>
      <c r="N10" s="8">
        <f>(IF($A$3&gt;295900,0,(IF($A$3&gt;=271200,$E$87,(IF($A$3&gt;=247700,$E$86,(IF($A$3&gt;=225200,$E$85,(IF($A$3&gt;203700,$E$84,0))))))))))</f>
        <v>0</v>
      </c>
      <c r="O10" s="8">
        <f>(IF($A$3&gt;166500,0,(IF($A$3&gt;=152600,$E$87,(IF($A$3&gt;=139400,$E$86,(IF($A$3&gt;=126700,$E$85,(IF($A$3&gt;114600,$E$84,0))))))))))</f>
        <v>0</v>
      </c>
      <c r="P10" s="8">
        <f>(IF($A$3&gt;125500,0,(IF($A$3&gt;=115801,$E$89,(IF($A$3&gt;=106501,$E$88,(IF($A$3&gt;=97701,$E$87,(IF($A$3&gt;=89201,$E$86,(IF($A$3&gt;=81101,$E$85,(IF($A$3&gt;73300,$E$84,0))))))))))))))</f>
        <v>0</v>
      </c>
      <c r="Q10" s="8">
        <f>(IF($A$3&gt;90600,0,(IF($A$3&gt;=83701,$E$89,(IF($A$3&gt;=77001,$E$88,(IF($A$3&gt;=70601,$E$87,(IF($A$3&gt;=65401,$E$86,(IF($A$3&gt;=58601,$E$85,(IF($A$3&gt;53000,$E$84,0))))))))))))))</f>
        <v>0</v>
      </c>
      <c r="R10" s="8">
        <f>(IF($A$3&gt;55700,0,(IF($A$3&gt;=51501,$E$89,(IF($A$3&gt;=47401,$E$88,(IF($A$3&gt;=43401,$E$87,(IF($A$3&gt;=39601,$E$86,(IF($A$3&gt;=36001,$E$85,(IF($A$3&gt;32600,$E$84,0))))))))))))))</f>
        <v>0</v>
      </c>
    </row>
    <row r="11" spans="1:18" ht="24" x14ac:dyDescent="0.2">
      <c r="A11" s="52" t="s">
        <v>173</v>
      </c>
      <c r="B11" s="53">
        <f>IF(B9&gt;=2000,+B9*120,IF(B9&gt;501,0,0))</f>
        <v>792000</v>
      </c>
      <c r="C11" s="53">
        <f>IF(C9&gt;=2000,+C9*120,IF(C9&gt;501,0,0))</f>
        <v>792000</v>
      </c>
      <c r="D11" s="54">
        <f>IF(D9&gt;=2000,+D9*120,IF(D9&gt;501,0,0))</f>
        <v>1056000</v>
      </c>
      <c r="E11" s="53">
        <f>IF(E9&gt;=2000,+E9*120,IF(E9&gt;501,0,0))</f>
        <v>1056000</v>
      </c>
      <c r="F11" s="53">
        <f>IF(F9&gt;2000,+F9*120,IF(F9&gt;501,0,0))</f>
        <v>1056000</v>
      </c>
      <c r="G11" s="45">
        <v>41569</v>
      </c>
      <c r="H11" s="57" t="s">
        <v>209</v>
      </c>
      <c r="N11" s="8"/>
      <c r="O11" s="8"/>
      <c r="P11" s="8">
        <f>(IF($A$3&gt;191400,0,(IF($A$3&gt;=179401,$E$95,(IF($A$3&gt;=167901,$E$94,(IF($A$3&gt;=156701,$E$93,(IF($A$3&gt;=145801,$E$92,(IF($A$3&gt;=135501,$E$91,(IF($A$3&gt;125500,$E$90,0))))))))))))))</f>
        <v>0</v>
      </c>
      <c r="Q11" s="8">
        <f>(IF($A$3&gt;138300,0,(IF($A$3&gt;=129601,$E$95,(IF($A$3&gt;=121301,$E$94,(IF($A$3&gt;=113201,$E$93,(IF($A$3&gt;=106801,$E$92,(IF($A$3&gt;=97901,$E$91,(IF($A$3&gt;90600,$E$90,0))))))))))))))</f>
        <v>0</v>
      </c>
      <c r="R11" s="8">
        <f>(IF($A$3&gt;85100,0,(IF($A$3&gt;=79801,$E$95,(IF($A$3&gt;=74601,$E$94,(IF($A$3&gt;=69601,$E$93,(IF($A$3&gt;=64801,$E$92,(IF($A$3&gt;=60201,$E$91,(IF($A$3&gt;55700,$E$90,0))))))))))))))</f>
        <v>0</v>
      </c>
    </row>
    <row r="12" spans="1:18" ht="20.25" customHeight="1" x14ac:dyDescent="0.2">
      <c r="A12" s="52" t="s">
        <v>16</v>
      </c>
      <c r="B12" s="53">
        <f>IF($B$3="H1",0,(IF($B$3="H2",0,(IF($B$3="H3",0,(IF($B$3="H4",0,(IF($B$3="H5",0,1)))))))))</f>
        <v>1</v>
      </c>
      <c r="C12" s="53">
        <f>IF($B$3="H1",0,(IF($B$3="H2",0,(IF($B$3="H3",0,(IF($B$3="H4",0,(IF($B$3="H5",0,1)))))))))</f>
        <v>1</v>
      </c>
      <c r="D12" s="54">
        <f>IF($B$3="H1",0,(IF($B$3="H2",0,(IF($B$3="H3",0,(IF($B$3="H4",0,(IF($B$3="H5",0,1)))))))))</f>
        <v>1</v>
      </c>
      <c r="E12" s="53">
        <f>IF($B$3="H1",0,(IF($B$3="H2",0,(IF($B$3="H3",0,(IF($B$3="H4",0,(IF($B$3="H5",0,1)))))))))</f>
        <v>1</v>
      </c>
      <c r="F12" s="53">
        <f>IF($B$3="H1",0,(IF($B$3="H2",0,(IF($B$3="H3",0,(IF($B$3="H4",0,(IF($B$3="H5",0,1)))))))))</f>
        <v>1</v>
      </c>
      <c r="N12">
        <f>(IF($A$3&gt;295900,6000,(IF($A$3&gt;295901,$E$96,0))))</f>
        <v>6000</v>
      </c>
      <c r="O12">
        <f>(IF($A$3&gt;166500,6000,(IF($A$3&gt;166501,$E$96,0))))</f>
        <v>6000</v>
      </c>
      <c r="P12">
        <f>(IF($A$3&gt;191400,8000,(IF($A$3&gt;191401,$E$96,0))))</f>
        <v>8000</v>
      </c>
      <c r="Q12">
        <f>(IF($A$3&gt;138300,8000,(IF($A$3&gt;138301,$E$96,0))))</f>
        <v>8000</v>
      </c>
      <c r="R12">
        <f>(IF($A$3&gt;85100,8000,(IF($A$3&gt;85101,$E$96,0))))</f>
        <v>8000</v>
      </c>
    </row>
    <row r="13" spans="1:18" x14ac:dyDescent="0.2">
      <c r="A13" s="61" t="s">
        <v>193</v>
      </c>
      <c r="B13" s="62">
        <f>IF($B$3="I1",0,(IF($B$3="i2",0,(IF($B$3="i3",0,(IF($B$3="i4",0,(IF($B$3="i5",0,1)))))))))</f>
        <v>1</v>
      </c>
      <c r="C13" s="65">
        <f>IF($B$3="I1",0,(IF($B$3="i2",0,(IF($B$3="i3",0,(IF($B$3="i4",0,(IF($B$3="i5",0,1)))))))))</f>
        <v>1</v>
      </c>
      <c r="D13" s="63">
        <f>IF($B$3="I1",0,(IF($B$3="i2",0,(IF($B$3="i3",0,(IF($B$3="i4",0,(IF($B$3="i5",0,1)))))))))</f>
        <v>1</v>
      </c>
      <c r="E13" s="65">
        <f>IF($B$3="I1",0,(IF($B$3="i2",0,(IF($B$3="i3",0,(IF($B$3="i4",0,(IF($B$3="i5",0,1)))))))))</f>
        <v>1</v>
      </c>
      <c r="F13" s="64">
        <f>IF($B$3="I1",0,(IF($B$3="i2",0,(IF($B$3="i3",0,(IF($B$3="i4",0,(IF($B$3="i5",0,1)))))))))</f>
        <v>1</v>
      </c>
      <c r="G13" s="45">
        <v>44593</v>
      </c>
      <c r="H13" t="s">
        <v>211</v>
      </c>
    </row>
    <row r="14" spans="1:18" ht="24" x14ac:dyDescent="0.2">
      <c r="A14" s="56" t="s">
        <v>14</v>
      </c>
      <c r="B14" s="53" t="str">
        <f>IF(B12=0,"NA to H occupancies ",(IF(B9&gt;1500,"No","Yes")))</f>
        <v>No</v>
      </c>
      <c r="C14" s="53" t="str">
        <f>IF(C12=0,"NA to H occupancies ",(IF(C9&gt;1500,"No","Yes")))</f>
        <v>No</v>
      </c>
      <c r="D14" s="54" t="str">
        <f>IF(D12=0,"NA to H occupancies ",(IF(D9&gt;1500,"No","Yes")))</f>
        <v>No</v>
      </c>
      <c r="E14" s="53" t="str">
        <f>IF(E12=0,"NA to H occupancies ",(IF(E9&gt;1500,"No","Yes")))</f>
        <v>No</v>
      </c>
      <c r="F14" s="53" t="str">
        <f>IF(F12=0,"NA to H occupancies ",(IF(F9&gt;1500,"No","Yes")))</f>
        <v>No</v>
      </c>
    </row>
    <row r="15" spans="1:18" x14ac:dyDescent="0.2">
      <c r="A15" s="52" t="s">
        <v>17</v>
      </c>
      <c r="B15" s="53">
        <f>(B9/2)</f>
        <v>3300</v>
      </c>
      <c r="C15" s="53">
        <f>(C9/2)</f>
        <v>3300</v>
      </c>
      <c r="D15" s="54">
        <f>(D9/2)</f>
        <v>4400</v>
      </c>
      <c r="E15" s="53">
        <f>(E9/2)</f>
        <v>4400</v>
      </c>
      <c r="F15" s="53">
        <f>(F9/2)</f>
        <v>4400</v>
      </c>
    </row>
    <row r="16" spans="1:18" x14ac:dyDescent="0.2">
      <c r="A16" s="52" t="s">
        <v>15</v>
      </c>
      <c r="B16" s="54" t="str">
        <f>IF(B15&lt;500,"no further reduction required"," ")</f>
        <v xml:space="preserve"> </v>
      </c>
      <c r="C16" s="53" t="str">
        <f>IF(C15&lt;500,"no further reduction required"," ")</f>
        <v xml:space="preserve"> </v>
      </c>
      <c r="D16" s="54" t="str">
        <f>IF(D15&lt;500,"no further reduction required"," ")</f>
        <v xml:space="preserve"> </v>
      </c>
      <c r="E16" s="53" t="str">
        <f>IF(E15&lt;500,"no further reduction required"," ")</f>
        <v xml:space="preserve"> </v>
      </c>
      <c r="F16" s="54" t="str">
        <f>IF(F15&lt;500,"no further reduction required"," ")</f>
        <v xml:space="preserve"> </v>
      </c>
    </row>
    <row r="17" spans="1:18" x14ac:dyDescent="0.2">
      <c r="A17" s="52" t="s">
        <v>4</v>
      </c>
      <c r="B17" s="54">
        <v>-250</v>
      </c>
      <c r="C17" s="53">
        <v>-250</v>
      </c>
      <c r="D17" s="54">
        <v>-250</v>
      </c>
      <c r="E17" s="53">
        <v>-250</v>
      </c>
      <c r="F17" s="54">
        <v>-250</v>
      </c>
      <c r="N17" t="s">
        <v>43</v>
      </c>
    </row>
    <row r="18" spans="1:18" x14ac:dyDescent="0.2">
      <c r="A18" s="5" t="s">
        <v>194</v>
      </c>
      <c r="B18" s="54">
        <f>IF(B15&lt;500,"no further reduction",(B15-250))</f>
        <v>3050</v>
      </c>
      <c r="C18" s="53">
        <f>IF(C15&lt;500,"no further reduction",(C15-250))</f>
        <v>3050</v>
      </c>
      <c r="D18" s="54">
        <f>IF(D15&lt;500,"no further reduction",(D15-250))</f>
        <v>4150</v>
      </c>
      <c r="E18" s="53">
        <f>IF(E15&lt;500,"no further reduction",(E15-250))</f>
        <v>4150</v>
      </c>
      <c r="F18" s="54">
        <f>IF(F15&lt;500,"no further reduction",(F15-250))</f>
        <v>4150</v>
      </c>
    </row>
    <row r="19" spans="1:18" ht="25.5" x14ac:dyDescent="0.2">
      <c r="A19" s="3" t="s">
        <v>212</v>
      </c>
      <c r="B19" s="70">
        <v>-2000</v>
      </c>
      <c r="C19" s="70">
        <v>-2000</v>
      </c>
      <c r="D19" s="70">
        <v>-2000</v>
      </c>
      <c r="E19" s="70">
        <v>-2000</v>
      </c>
      <c r="F19" s="70">
        <v>-2000</v>
      </c>
    </row>
    <row r="20" spans="1:18" x14ac:dyDescent="0.2">
      <c r="A20" s="5" t="s">
        <v>210</v>
      </c>
      <c r="B20" s="68">
        <f>SUM(B18:B19)</f>
        <v>1050</v>
      </c>
      <c r="C20" s="68">
        <f t="shared" ref="C20:F20" si="0">SUM(C18:C19)</f>
        <v>1050</v>
      </c>
      <c r="D20" s="68">
        <f t="shared" si="0"/>
        <v>2150</v>
      </c>
      <c r="E20" s="68">
        <f t="shared" si="0"/>
        <v>2150</v>
      </c>
      <c r="F20" s="68">
        <f t="shared" si="0"/>
        <v>2150</v>
      </c>
    </row>
    <row r="21" spans="1:18" x14ac:dyDescent="0.2">
      <c r="A21" s="52" t="s">
        <v>51</v>
      </c>
      <c r="B21" s="54" t="str">
        <f>IF(B18="no further reduction","no",(IF(B18&gt;500,"yes","no")))</f>
        <v>yes</v>
      </c>
      <c r="C21" s="54" t="str">
        <f>(IF((C15)&gt;500,"yes","no"))</f>
        <v>yes</v>
      </c>
      <c r="D21" s="54" t="str">
        <f>(IF((D15)&gt;500,"yes","no"))</f>
        <v>yes</v>
      </c>
      <c r="E21" s="54" t="str">
        <f>(IF((E15)&gt;500,"yes","no"))</f>
        <v>yes</v>
      </c>
      <c r="F21" s="54" t="str">
        <f>(IF((F15)&gt;500,"yes","no"))</f>
        <v>yes</v>
      </c>
    </row>
    <row r="22" spans="1:18" x14ac:dyDescent="0.2">
      <c r="A22" s="52" t="s">
        <v>76</v>
      </c>
      <c r="B22" s="53">
        <f>IF($D$3="yes",1,0)</f>
        <v>1</v>
      </c>
      <c r="C22" s="53">
        <f>IF($D$3="yes",1,0)</f>
        <v>1</v>
      </c>
      <c r="D22" s="54">
        <f>IF($D$3="yes",1,0)</f>
        <v>1</v>
      </c>
      <c r="E22" s="53">
        <f>IF($D$3="yes",1,0)</f>
        <v>1</v>
      </c>
      <c r="F22" s="53">
        <f>IF($D$3="yes",1,0)</f>
        <v>1</v>
      </c>
    </row>
    <row r="23" spans="1:18" x14ac:dyDescent="0.2">
      <c r="A23" s="52" t="s">
        <v>46</v>
      </c>
      <c r="B23" s="53">
        <f>IF($C$3="UGA",B$24,B$25)</f>
        <v>1</v>
      </c>
      <c r="C23" s="53">
        <f>IF($C3="UGA",C$24,C$25)</f>
        <v>1</v>
      </c>
      <c r="D23" s="54">
        <f>IF($C3="UGA",D$24,D$25)</f>
        <v>1</v>
      </c>
      <c r="E23" s="53">
        <f>IF($C3="UGA",E$24,E$25)</f>
        <v>1</v>
      </c>
      <c r="F23" s="53">
        <f>IF($C3="UGA",F$24,F$25)</f>
        <v>1</v>
      </c>
      <c r="N23">
        <f>SUM(N7:N18)</f>
        <v>6000</v>
      </c>
      <c r="O23">
        <f>SUM(O7:O18)</f>
        <v>6000</v>
      </c>
      <c r="P23">
        <f>SUM(P7:P18)</f>
        <v>8000</v>
      </c>
      <c r="Q23">
        <f>SUM(Q7:Q18)</f>
        <v>8000</v>
      </c>
      <c r="R23">
        <f>SUM(R7:R18)</f>
        <v>8000</v>
      </c>
    </row>
    <row r="24" spans="1:18" ht="33" customHeight="1" x14ac:dyDescent="0.2">
      <c r="A24" s="56" t="s">
        <v>176</v>
      </c>
      <c r="B24" s="53">
        <f>IF($A$3&gt;7500,1,0)</f>
        <v>1</v>
      </c>
      <c r="C24" s="53">
        <f>IF($A$3&gt;7500,1,0)</f>
        <v>1</v>
      </c>
      <c r="D24" s="54">
        <f>IF($A$3&gt;7500,1,0)</f>
        <v>1</v>
      </c>
      <c r="E24" s="53">
        <f>IF($A$3&gt;7500,1,0)</f>
        <v>1</v>
      </c>
      <c r="F24" s="53">
        <f>IF($A$3&gt;7500,1,0)</f>
        <v>1</v>
      </c>
    </row>
    <row r="25" spans="1:18" ht="24" x14ac:dyDescent="0.2">
      <c r="A25" s="56" t="s">
        <v>177</v>
      </c>
      <c r="B25" s="53">
        <f>IF($A$3&gt;=12000,1,B$22)</f>
        <v>1</v>
      </c>
      <c r="C25" s="53">
        <f>IF($A$3&gt;=12000,1,C$22)</f>
        <v>1</v>
      </c>
      <c r="D25" s="53">
        <f>IF($A$3&gt;=12000,1,D$22)</f>
        <v>1</v>
      </c>
      <c r="E25" s="53">
        <f>IF($A$3&gt;=12000,1,E$22)</f>
        <v>1</v>
      </c>
      <c r="F25" s="53">
        <f>IF($A$3&gt;=12000,1,F$22)</f>
        <v>1</v>
      </c>
    </row>
    <row r="26" spans="1:18" ht="36" x14ac:dyDescent="0.2">
      <c r="A26" s="46" t="s">
        <v>195</v>
      </c>
      <c r="B26" s="53" t="str">
        <f>IF(B23=1,"yes","no")</f>
        <v>yes</v>
      </c>
      <c r="C26" s="53" t="str">
        <f>IF(C23=1,"yes","no")</f>
        <v>yes</v>
      </c>
      <c r="D26" s="54" t="str">
        <f>IF(D23=1,"yes","no")</f>
        <v>yes</v>
      </c>
      <c r="E26" s="53" t="str">
        <f>IF(E23=1,"yes","no")</f>
        <v>yes</v>
      </c>
      <c r="F26" s="53" t="str">
        <f>IF(F23=1,"yes","no")</f>
        <v>yes</v>
      </c>
    </row>
    <row r="27" spans="1:18" x14ac:dyDescent="0.2">
      <c r="A27" s="46" t="s">
        <v>73</v>
      </c>
      <c r="B27" s="53">
        <f>IF(B$20&lt;=2000,B$20*60,0)</f>
        <v>63000</v>
      </c>
      <c r="C27" s="53">
        <f>IF(C$20&lt;=2000,C$20*60,0)</f>
        <v>63000</v>
      </c>
      <c r="D27" s="53">
        <f>IF(D$20&lt;=2000,D$20*60,0)</f>
        <v>0</v>
      </c>
      <c r="E27" s="53">
        <f>IF(E$20&lt;=2000,E$20*60,0)</f>
        <v>0</v>
      </c>
      <c r="F27" s="53">
        <f>IF(F$20&lt;=2000,F$20*60,0)</f>
        <v>0</v>
      </c>
    </row>
    <row r="28" spans="1:18" x14ac:dyDescent="0.2">
      <c r="A28" s="46" t="s">
        <v>74</v>
      </c>
      <c r="B28" s="53">
        <f>IF(B$20&gt;2001,B$20*120,0)</f>
        <v>0</v>
      </c>
      <c r="C28" s="53">
        <f>IF(C$20&gt;2001,C$20*120,0)</f>
        <v>0</v>
      </c>
      <c r="D28" s="53">
        <f>IF(D$20&gt;2001,D$20*120,0)</f>
        <v>258000</v>
      </c>
      <c r="E28" s="53">
        <f>IF(E$20&gt;2001,E$20*120,0)</f>
        <v>258000</v>
      </c>
      <c r="F28" s="53">
        <f>IF(F$20&gt;2001,F$20*120,0)</f>
        <v>258000</v>
      </c>
    </row>
    <row r="29" spans="1:18" x14ac:dyDescent="0.2">
      <c r="A29" s="46" t="s">
        <v>174</v>
      </c>
      <c r="B29" s="53">
        <f>IF(B$20&gt;2001,B$20*180,0)</f>
        <v>0</v>
      </c>
      <c r="C29" s="53">
        <f>IF(C$20&gt;2001,C$20*180,0)</f>
        <v>0</v>
      </c>
      <c r="D29" s="53">
        <f>IF(D$20&gt;2001,D$20*180,0)</f>
        <v>387000</v>
      </c>
      <c r="E29" s="53">
        <f>IF(E$20&gt;2001,E$20*180,0)</f>
        <v>387000</v>
      </c>
      <c r="F29" s="53">
        <f>IF(F$20&gt;2001,F$20*180,0)</f>
        <v>387000</v>
      </c>
    </row>
    <row r="30" spans="1:18" x14ac:dyDescent="0.2">
      <c r="A30" s="29" t="s">
        <v>75</v>
      </c>
    </row>
    <row r="33" spans="2:10" x14ac:dyDescent="0.2">
      <c r="B33" s="2"/>
      <c r="E33" s="7"/>
    </row>
    <row r="34" spans="2:10" x14ac:dyDescent="0.2">
      <c r="B34" s="2"/>
      <c r="E34" s="7"/>
    </row>
    <row r="35" spans="2:10" x14ac:dyDescent="0.2">
      <c r="B35" s="2"/>
      <c r="E35" s="7"/>
    </row>
    <row r="36" spans="2:10" x14ac:dyDescent="0.2">
      <c r="B36" s="2"/>
      <c r="E36" s="7"/>
    </row>
    <row r="37" spans="2:10" x14ac:dyDescent="0.2">
      <c r="B37" s="2"/>
      <c r="E37" s="7"/>
    </row>
    <row r="38" spans="2:10" x14ac:dyDescent="0.2">
      <c r="B38" s="2"/>
      <c r="E38" s="7"/>
    </row>
    <row r="39" spans="2:10" x14ac:dyDescent="0.2">
      <c r="B39" s="2"/>
      <c r="E39" s="7"/>
    </row>
    <row r="40" spans="2:10" x14ac:dyDescent="0.2">
      <c r="B40" s="2"/>
      <c r="E40" s="7"/>
    </row>
    <row r="41" spans="2:10" x14ac:dyDescent="0.2">
      <c r="B41" s="2"/>
      <c r="E41" s="7"/>
      <c r="G41" s="8">
        <f>IF(C18="no further reduction","not required",(IF(C18&gt;1999,+C18*120," ")))</f>
        <v>366000</v>
      </c>
      <c r="H41" s="8">
        <f>IF(D18="no further reduction","not required",(IF(D18&gt;1999,+D18*120," ")))</f>
        <v>498000</v>
      </c>
      <c r="I41" s="8">
        <f>IF(E18="no further reduction","not required",(IF(E18&gt;1999,+E18*120," ")))</f>
        <v>498000</v>
      </c>
      <c r="J41">
        <f>IF(F18="no further reduction","not required",(IF(F18&gt;1999,+F18*120," ")))</f>
        <v>498000</v>
      </c>
    </row>
    <row r="42" spans="2:10" x14ac:dyDescent="0.2">
      <c r="B42" s="2"/>
      <c r="E42" s="7"/>
      <c r="G42" s="8">
        <f>IF(C18&gt;1999,(C18*60),IF(C18&gt;501," "," "))</f>
        <v>183000</v>
      </c>
      <c r="H42" s="8">
        <f>IF(D18&gt;1999,(D18*60),IF(D18&gt;501," "," "))</f>
        <v>249000</v>
      </c>
      <c r="I42" s="8">
        <f>IF(E18&gt;1999,(E18*60),IF(E18&gt;501," "," "))</f>
        <v>249000</v>
      </c>
      <c r="J42">
        <f>IF(F18&gt;1999,(F18*60),IF(F18&gt;501," "," "))</f>
        <v>249000</v>
      </c>
    </row>
    <row r="43" spans="2:10" x14ac:dyDescent="0.2">
      <c r="B43" s="2"/>
      <c r="E43" s="7"/>
    </row>
    <row r="44" spans="2:10" x14ac:dyDescent="0.2">
      <c r="B44" s="2"/>
      <c r="E44" s="7"/>
    </row>
    <row r="45" spans="2:10" x14ac:dyDescent="0.2">
      <c r="B45" s="2"/>
      <c r="E45" s="7"/>
    </row>
    <row r="46" spans="2:10" x14ac:dyDescent="0.2">
      <c r="B46" s="2" t="s">
        <v>77</v>
      </c>
      <c r="E46" s="7"/>
    </row>
    <row r="47" spans="2:10" x14ac:dyDescent="0.2">
      <c r="B47" s="2" t="s">
        <v>78</v>
      </c>
      <c r="E47" s="7"/>
    </row>
    <row r="48" spans="2:10" x14ac:dyDescent="0.2">
      <c r="B48" s="2"/>
      <c r="E48" s="7"/>
    </row>
    <row r="49" spans="1:5" x14ac:dyDescent="0.2">
      <c r="B49" s="2"/>
      <c r="E49" s="7"/>
    </row>
    <row r="50" spans="1:5" x14ac:dyDescent="0.2">
      <c r="B50" s="2"/>
    </row>
    <row r="51" spans="1:5" x14ac:dyDescent="0.2">
      <c r="A51" s="3"/>
      <c r="B51" s="2"/>
    </row>
    <row r="52" spans="1:5" x14ac:dyDescent="0.2">
      <c r="B52" s="2"/>
    </row>
    <row r="53" spans="1:5" x14ac:dyDescent="0.2">
      <c r="B53" s="2"/>
    </row>
    <row r="54" spans="1:5" x14ac:dyDescent="0.2">
      <c r="B54" s="2"/>
    </row>
    <row r="55" spans="1:5" x14ac:dyDescent="0.2">
      <c r="B55" s="2"/>
    </row>
    <row r="56" spans="1:5" x14ac:dyDescent="0.2">
      <c r="B56" s="2"/>
    </row>
    <row r="57" spans="1:5" x14ac:dyDescent="0.2">
      <c r="B57" s="2"/>
    </row>
    <row r="58" spans="1:5" x14ac:dyDescent="0.2">
      <c r="B58" s="2"/>
    </row>
    <row r="59" spans="1:5" x14ac:dyDescent="0.2">
      <c r="B59" s="2"/>
    </row>
    <row r="60" spans="1:5" x14ac:dyDescent="0.2">
      <c r="B60" s="12" t="s">
        <v>66</v>
      </c>
    </row>
    <row r="61" spans="1:5" x14ac:dyDescent="0.2">
      <c r="B61" s="12">
        <f>IF($B$3="R1",-0.25,(IF($B$3="R2",-0.25,(IF($B$3="S2",-0.25,(IF($B$3="I1",-0.25,(IF($B$3="I2",-0.25,(IF($B$3="i3",-0.25,C62)))))))))))</f>
        <v>0</v>
      </c>
    </row>
    <row r="62" spans="1:5" x14ac:dyDescent="0.2">
      <c r="B62" s="12">
        <f>IF($B$3="E1d",-0.2,(IF($B$3="A1",-0.2,(IF($B$3="A2",-0.2,(IF($B$3="A3",-0.2,(IF($B$3="A4",-0.2,(IF($B$3="A5",-0.2,C62)))))))))))</f>
        <v>0</v>
      </c>
    </row>
    <row r="63" spans="1:5" x14ac:dyDescent="0.2">
      <c r="B63" s="12">
        <f>IF($B$3="E",-0.15,(IF($B$3="I4",-0.15,C62)))</f>
        <v>0</v>
      </c>
    </row>
    <row r="64" spans="1:5" x14ac:dyDescent="0.2">
      <c r="B64" s="12">
        <f>IF($B$3="B",-0.1,(IF($B$3="A5",-0.1,C62)))</f>
        <v>0</v>
      </c>
    </row>
    <row r="65" spans="2:10" x14ac:dyDescent="0.2">
      <c r="B65" s="12">
        <f>IF($B$3="S1",0.1,(IF($B$3="mfd",0.1,C62)))</f>
        <v>0.1</v>
      </c>
      <c r="E65" s="9" t="s">
        <v>8</v>
      </c>
      <c r="F65" s="9" t="s">
        <v>3</v>
      </c>
      <c r="G65" s="9" t="s">
        <v>2</v>
      </c>
      <c r="H65" s="9" t="s">
        <v>7</v>
      </c>
      <c r="I65" s="9" t="s">
        <v>1</v>
      </c>
      <c r="J65" s="9" t="s">
        <v>0</v>
      </c>
    </row>
    <row r="66" spans="2:10" x14ac:dyDescent="0.2">
      <c r="B66" s="12">
        <f>IF($B$3="S1fd",0.15,(IF($B$3="H4",0.15,C62)))</f>
        <v>0</v>
      </c>
      <c r="E66" s="8">
        <v>500</v>
      </c>
      <c r="F66" s="8">
        <v>5500</v>
      </c>
      <c r="G66" s="8">
        <v>3700</v>
      </c>
      <c r="H66" s="8">
        <v>2600</v>
      </c>
      <c r="I66" s="8">
        <v>2100</v>
      </c>
      <c r="J66" s="8">
        <v>1600</v>
      </c>
    </row>
    <row r="67" spans="2:10" x14ac:dyDescent="0.2">
      <c r="B67" s="12">
        <f>IF($B$3="H3",0.2,C62)</f>
        <v>0</v>
      </c>
      <c r="E67" s="8">
        <v>750</v>
      </c>
      <c r="F67" s="8">
        <v>7800</v>
      </c>
      <c r="G67" s="8">
        <v>5000</v>
      </c>
      <c r="H67" s="8">
        <v>3500</v>
      </c>
      <c r="I67" s="8">
        <v>2700</v>
      </c>
      <c r="J67" s="8">
        <v>2000</v>
      </c>
    </row>
    <row r="68" spans="2:10" x14ac:dyDescent="0.2">
      <c r="B68" s="12">
        <f>IF($B$3="H1",0.25,(IF($B$3="H2",0.25,(IF($B$3="h5",0.25,C62)))))</f>
        <v>0</v>
      </c>
      <c r="E68" s="8">
        <v>1000</v>
      </c>
      <c r="F68" s="8">
        <v>11100</v>
      </c>
      <c r="G68" s="8">
        <v>6800</v>
      </c>
      <c r="H68" s="8">
        <v>4700</v>
      </c>
      <c r="I68" s="8">
        <v>3500</v>
      </c>
      <c r="J68" s="8">
        <v>2400</v>
      </c>
    </row>
    <row r="69" spans="2:10" x14ac:dyDescent="0.2">
      <c r="B69" s="2"/>
      <c r="E69" s="8">
        <v>1250</v>
      </c>
      <c r="F69" s="8">
        <v>15900</v>
      </c>
      <c r="G69" s="8">
        <v>9300</v>
      </c>
      <c r="H69" s="8">
        <v>6200</v>
      </c>
      <c r="I69" s="8">
        <v>4500</v>
      </c>
      <c r="J69" s="8">
        <v>2900</v>
      </c>
    </row>
    <row r="70" spans="2:10" x14ac:dyDescent="0.2">
      <c r="B70" s="2"/>
      <c r="E70" s="8">
        <v>1500</v>
      </c>
      <c r="F70" s="8">
        <v>22750</v>
      </c>
      <c r="G70" s="8">
        <v>12700</v>
      </c>
      <c r="H70" s="8">
        <v>8200</v>
      </c>
      <c r="I70" s="8">
        <v>5900</v>
      </c>
      <c r="J70" s="8">
        <v>3600</v>
      </c>
    </row>
    <row r="71" spans="2:10" x14ac:dyDescent="0.2">
      <c r="B71" s="2"/>
      <c r="E71" s="8">
        <v>1750</v>
      </c>
      <c r="F71" s="8">
        <v>30200</v>
      </c>
      <c r="G71" s="8">
        <v>17000</v>
      </c>
      <c r="H71" s="8">
        <v>10900</v>
      </c>
      <c r="I71" s="8">
        <v>7900</v>
      </c>
      <c r="J71" s="8">
        <v>4800</v>
      </c>
    </row>
    <row r="72" spans="2:10" x14ac:dyDescent="0.2">
      <c r="B72" s="2"/>
      <c r="E72" s="8">
        <v>2000</v>
      </c>
      <c r="F72" s="8">
        <v>38700</v>
      </c>
      <c r="G72" s="8">
        <v>21800</v>
      </c>
      <c r="H72" s="8">
        <v>12900</v>
      </c>
      <c r="I72" s="8">
        <v>9800</v>
      </c>
      <c r="J72" s="8">
        <v>6200</v>
      </c>
    </row>
    <row r="73" spans="2:10" x14ac:dyDescent="0.2">
      <c r="B73" s="2">
        <f>SUM(B61:B72)</f>
        <v>0.1</v>
      </c>
      <c r="E73" s="8">
        <v>2250</v>
      </c>
      <c r="F73" s="8">
        <v>48300</v>
      </c>
      <c r="G73" s="8">
        <v>24200</v>
      </c>
      <c r="H73" s="8">
        <v>17400</v>
      </c>
      <c r="I73" s="8">
        <v>12600</v>
      </c>
      <c r="J73" s="8">
        <v>7700</v>
      </c>
    </row>
    <row r="74" spans="2:10" x14ac:dyDescent="0.2">
      <c r="B74" s="2"/>
      <c r="E74" s="8">
        <v>2500</v>
      </c>
      <c r="F74" s="8">
        <v>59000</v>
      </c>
      <c r="G74" s="8">
        <v>33200</v>
      </c>
      <c r="H74" s="8">
        <v>21300</v>
      </c>
      <c r="I74" s="8">
        <v>15400</v>
      </c>
      <c r="J74" s="8">
        <v>9400</v>
      </c>
    </row>
    <row r="75" spans="2:10" x14ac:dyDescent="0.2">
      <c r="B75" s="2"/>
      <c r="E75" s="8">
        <v>2750</v>
      </c>
      <c r="F75" s="8">
        <v>70900</v>
      </c>
      <c r="G75" s="8">
        <v>39700</v>
      </c>
      <c r="H75" s="8">
        <v>25500</v>
      </c>
      <c r="I75" s="8">
        <v>18400</v>
      </c>
      <c r="J75" s="8">
        <v>11300</v>
      </c>
    </row>
    <row r="76" spans="2:10" x14ac:dyDescent="0.2">
      <c r="B76" s="2"/>
      <c r="E76" s="8">
        <v>3000</v>
      </c>
      <c r="F76" s="8">
        <v>83700</v>
      </c>
      <c r="G76" s="8">
        <v>47100</v>
      </c>
      <c r="H76" s="8">
        <v>31100</v>
      </c>
      <c r="I76" s="8">
        <v>21800</v>
      </c>
      <c r="J76" s="8">
        <v>13400</v>
      </c>
    </row>
    <row r="77" spans="2:10" x14ac:dyDescent="0.2">
      <c r="B77" s="2"/>
      <c r="E77" s="8">
        <v>3250</v>
      </c>
      <c r="F77" s="8">
        <v>97700</v>
      </c>
      <c r="G77" s="8">
        <v>54900</v>
      </c>
      <c r="H77" s="8">
        <v>35200</v>
      </c>
      <c r="I77" s="8">
        <v>25900</v>
      </c>
      <c r="J77" s="8">
        <v>15600</v>
      </c>
    </row>
    <row r="78" spans="2:10" x14ac:dyDescent="0.2">
      <c r="B78" s="2"/>
      <c r="E78" s="8">
        <v>3500</v>
      </c>
      <c r="F78" s="8">
        <v>112700</v>
      </c>
      <c r="G78" s="8">
        <v>63400</v>
      </c>
      <c r="H78" s="8">
        <v>40600</v>
      </c>
      <c r="I78" s="8">
        <v>29300</v>
      </c>
      <c r="J78" s="8">
        <v>18000</v>
      </c>
    </row>
    <row r="79" spans="2:10" x14ac:dyDescent="0.2">
      <c r="B79" s="2"/>
      <c r="E79" s="8">
        <v>3750</v>
      </c>
      <c r="F79" s="8">
        <v>128700</v>
      </c>
      <c r="G79" s="8">
        <v>72400</v>
      </c>
      <c r="H79" s="8">
        <v>46400</v>
      </c>
      <c r="I79" s="8">
        <v>33500</v>
      </c>
      <c r="J79" s="8">
        <v>20600</v>
      </c>
    </row>
    <row r="80" spans="2:10" x14ac:dyDescent="0.2">
      <c r="C80" s="2" t="s">
        <v>18</v>
      </c>
      <c r="E80" s="8">
        <v>4000</v>
      </c>
      <c r="F80" s="8">
        <v>145900</v>
      </c>
      <c r="G80" s="8">
        <v>82100</v>
      </c>
      <c r="H80" s="8">
        <v>52500</v>
      </c>
      <c r="I80" s="8">
        <v>37900</v>
      </c>
      <c r="J80" s="8">
        <v>23300</v>
      </c>
    </row>
    <row r="81" spans="3:10" x14ac:dyDescent="0.2">
      <c r="C81" s="2" t="s">
        <v>19</v>
      </c>
      <c r="E81" s="8">
        <v>4250</v>
      </c>
      <c r="F81" s="8">
        <v>164200</v>
      </c>
      <c r="G81" s="8">
        <v>92400</v>
      </c>
      <c r="H81" s="8">
        <v>59100</v>
      </c>
      <c r="I81" s="8">
        <v>42700</v>
      </c>
      <c r="J81" s="8">
        <v>26300</v>
      </c>
    </row>
    <row r="82" spans="3:10" x14ac:dyDescent="0.2">
      <c r="C82" s="2" t="s">
        <v>20</v>
      </c>
      <c r="E82" s="8">
        <v>4500</v>
      </c>
      <c r="F82" s="8">
        <v>183400</v>
      </c>
      <c r="G82" s="8">
        <v>103100</v>
      </c>
      <c r="H82" s="8">
        <v>66000</v>
      </c>
      <c r="I82" s="8">
        <v>47700</v>
      </c>
      <c r="J82" s="8">
        <v>29300</v>
      </c>
    </row>
    <row r="83" spans="3:10" x14ac:dyDescent="0.2">
      <c r="C83" s="2" t="s">
        <v>21</v>
      </c>
      <c r="E83" s="8">
        <v>4700</v>
      </c>
      <c r="F83" s="8">
        <v>203700</v>
      </c>
      <c r="G83" s="8">
        <v>114600</v>
      </c>
      <c r="H83" s="8">
        <v>73300</v>
      </c>
      <c r="I83" s="8">
        <v>53000</v>
      </c>
      <c r="J83" s="8">
        <v>32600</v>
      </c>
    </row>
    <row r="84" spans="3:10" x14ac:dyDescent="0.2">
      <c r="C84" s="2" t="s">
        <v>22</v>
      </c>
      <c r="E84" s="8">
        <v>5000</v>
      </c>
      <c r="F84" s="8">
        <v>225200</v>
      </c>
      <c r="G84" s="8">
        <v>126700</v>
      </c>
      <c r="H84" s="8">
        <v>81100</v>
      </c>
      <c r="I84" s="8">
        <v>58600</v>
      </c>
      <c r="J84" s="8">
        <v>36000</v>
      </c>
    </row>
    <row r="85" spans="3:10" x14ac:dyDescent="0.2">
      <c r="C85" s="2" t="s">
        <v>23</v>
      </c>
      <c r="E85" s="8">
        <v>5250</v>
      </c>
      <c r="F85" s="8">
        <v>247700</v>
      </c>
      <c r="G85" s="8">
        <v>139400</v>
      </c>
      <c r="H85" s="8">
        <v>89200</v>
      </c>
      <c r="I85" s="8">
        <v>65400</v>
      </c>
      <c r="J85" s="8">
        <v>39600</v>
      </c>
    </row>
    <row r="86" spans="3:10" x14ac:dyDescent="0.2">
      <c r="C86" s="2" t="s">
        <v>5</v>
      </c>
      <c r="E86" s="8">
        <v>5500</v>
      </c>
      <c r="F86" s="8">
        <v>271200</v>
      </c>
      <c r="G86" s="8">
        <v>152600</v>
      </c>
      <c r="H86" s="8">
        <v>97700</v>
      </c>
      <c r="I86" s="8">
        <v>70600</v>
      </c>
      <c r="J86" s="8">
        <v>43400</v>
      </c>
    </row>
    <row r="87" spans="3:10" x14ac:dyDescent="0.2">
      <c r="C87" s="2" t="s">
        <v>24</v>
      </c>
      <c r="E87" s="8">
        <v>5750</v>
      </c>
      <c r="F87" s="8">
        <v>295900</v>
      </c>
      <c r="G87" s="8">
        <v>166500</v>
      </c>
      <c r="H87" s="8">
        <v>106500</v>
      </c>
      <c r="I87" s="8">
        <v>77000</v>
      </c>
      <c r="J87" s="8">
        <v>47400</v>
      </c>
    </row>
    <row r="88" spans="3:10" x14ac:dyDescent="0.2">
      <c r="C88" s="2" t="s">
        <v>25</v>
      </c>
      <c r="E88" s="8">
        <v>6000</v>
      </c>
      <c r="F88" s="28" t="s">
        <v>9</v>
      </c>
      <c r="G88" s="28" t="s">
        <v>9</v>
      </c>
      <c r="H88" s="28">
        <v>115800</v>
      </c>
      <c r="I88" s="28">
        <v>83700</v>
      </c>
      <c r="J88" s="28">
        <v>51500</v>
      </c>
    </row>
    <row r="89" spans="3:10" x14ac:dyDescent="0.2">
      <c r="C89" s="2" t="s">
        <v>26</v>
      </c>
      <c r="E89" s="8">
        <v>6200</v>
      </c>
      <c r="F89" s="28" t="s">
        <v>9</v>
      </c>
      <c r="G89" s="28" t="s">
        <v>9</v>
      </c>
      <c r="H89" s="28">
        <v>125500</v>
      </c>
      <c r="I89" s="28">
        <v>90600</v>
      </c>
      <c r="J89" s="28">
        <v>55700</v>
      </c>
    </row>
    <row r="90" spans="3:10" x14ac:dyDescent="0.2">
      <c r="C90" s="2" t="s">
        <v>27</v>
      </c>
      <c r="E90" s="8">
        <v>6500</v>
      </c>
      <c r="F90" s="28" t="s">
        <v>9</v>
      </c>
      <c r="G90" s="28" t="s">
        <v>9</v>
      </c>
      <c r="H90" s="28">
        <v>135500</v>
      </c>
      <c r="I90" s="28">
        <v>97900</v>
      </c>
      <c r="J90" s="28">
        <v>60200</v>
      </c>
    </row>
    <row r="91" spans="3:10" x14ac:dyDescent="0.2">
      <c r="C91" s="2" t="s">
        <v>28</v>
      </c>
      <c r="E91" s="8">
        <v>6750</v>
      </c>
      <c r="F91" s="28" t="s">
        <v>9</v>
      </c>
      <c r="G91" s="28" t="s">
        <v>9</v>
      </c>
      <c r="H91" s="28">
        <v>145800</v>
      </c>
      <c r="I91" s="28">
        <v>106800</v>
      </c>
      <c r="J91" s="28">
        <v>64800</v>
      </c>
    </row>
    <row r="92" spans="3:10" x14ac:dyDescent="0.2">
      <c r="C92" s="2" t="s">
        <v>29</v>
      </c>
      <c r="E92" s="8">
        <v>7000</v>
      </c>
      <c r="F92" s="28" t="s">
        <v>9</v>
      </c>
      <c r="G92" s="28" t="s">
        <v>9</v>
      </c>
      <c r="H92" s="28">
        <v>156700</v>
      </c>
      <c r="I92" s="28">
        <v>113200</v>
      </c>
      <c r="J92" s="28">
        <v>69600</v>
      </c>
    </row>
    <row r="93" spans="3:10" x14ac:dyDescent="0.2">
      <c r="C93" s="2" t="s">
        <v>30</v>
      </c>
      <c r="E93" s="8">
        <v>7250</v>
      </c>
      <c r="F93" s="28" t="s">
        <v>9</v>
      </c>
      <c r="G93" s="28" t="s">
        <v>9</v>
      </c>
      <c r="H93" s="28">
        <v>167900</v>
      </c>
      <c r="I93" s="28">
        <v>121300</v>
      </c>
      <c r="J93" s="28">
        <v>74600</v>
      </c>
    </row>
    <row r="94" spans="3:10" x14ac:dyDescent="0.2">
      <c r="C94" s="2" t="s">
        <v>31</v>
      </c>
      <c r="E94" s="8">
        <v>7500</v>
      </c>
      <c r="F94" s="28" t="s">
        <v>9</v>
      </c>
      <c r="G94" s="28" t="s">
        <v>9</v>
      </c>
      <c r="H94" s="28">
        <v>179400</v>
      </c>
      <c r="I94" s="28">
        <v>129600</v>
      </c>
      <c r="J94" s="28">
        <v>79800</v>
      </c>
    </row>
    <row r="95" spans="3:10" x14ac:dyDescent="0.2">
      <c r="C95" s="2" t="s">
        <v>32</v>
      </c>
      <c r="E95" s="8">
        <v>7750</v>
      </c>
      <c r="F95" s="28" t="s">
        <v>9</v>
      </c>
      <c r="G95" s="28" t="s">
        <v>9</v>
      </c>
      <c r="H95" s="28">
        <v>191400</v>
      </c>
      <c r="I95" s="28">
        <v>138300</v>
      </c>
      <c r="J95" s="28">
        <v>85100</v>
      </c>
    </row>
    <row r="96" spans="3:10" x14ac:dyDescent="0.2">
      <c r="C96" s="2" t="s">
        <v>33</v>
      </c>
      <c r="E96" s="8">
        <v>8000</v>
      </c>
      <c r="F96" s="28" t="s">
        <v>9</v>
      </c>
      <c r="G96" s="28" t="s">
        <v>9</v>
      </c>
      <c r="H96" s="28" t="s">
        <v>9</v>
      </c>
      <c r="I96" s="28" t="s">
        <v>9</v>
      </c>
      <c r="J96" s="28" t="s">
        <v>9</v>
      </c>
    </row>
    <row r="97" spans="3:3" x14ac:dyDescent="0.2">
      <c r="C97" s="2" t="s">
        <v>34</v>
      </c>
    </row>
    <row r="98" spans="3:3" x14ac:dyDescent="0.2">
      <c r="C98" s="2" t="s">
        <v>35</v>
      </c>
    </row>
    <row r="99" spans="3:3" x14ac:dyDescent="0.2">
      <c r="C99" s="2" t="s">
        <v>36</v>
      </c>
    </row>
    <row r="100" spans="3:3" x14ac:dyDescent="0.2">
      <c r="C100" s="2" t="s">
        <v>37</v>
      </c>
    </row>
    <row r="101" spans="3:3" x14ac:dyDescent="0.2">
      <c r="C101" s="2" t="s">
        <v>38</v>
      </c>
    </row>
    <row r="102" spans="3:3" x14ac:dyDescent="0.2">
      <c r="C102" s="2" t="s">
        <v>39</v>
      </c>
    </row>
    <row r="103" spans="3:3" x14ac:dyDescent="0.2">
      <c r="C103" s="2" t="s">
        <v>40</v>
      </c>
    </row>
    <row r="104" spans="3:3" x14ac:dyDescent="0.2">
      <c r="C104" s="2" t="s">
        <v>41</v>
      </c>
    </row>
    <row r="105" spans="3:3" x14ac:dyDescent="0.2">
      <c r="C105" s="2" t="s">
        <v>42</v>
      </c>
    </row>
    <row r="152" spans="2:6" x14ac:dyDescent="0.2">
      <c r="B152" s="2" t="s">
        <v>18</v>
      </c>
    </row>
    <row r="153" spans="2:6" x14ac:dyDescent="0.2">
      <c r="B153" s="2" t="s">
        <v>19</v>
      </c>
      <c r="F153" t="s">
        <v>44</v>
      </c>
    </row>
    <row r="154" spans="2:6" x14ac:dyDescent="0.2">
      <c r="B154" s="2" t="s">
        <v>20</v>
      </c>
      <c r="F154" t="s">
        <v>45</v>
      </c>
    </row>
    <row r="155" spans="2:6" x14ac:dyDescent="0.2">
      <c r="B155" s="2" t="s">
        <v>21</v>
      </c>
    </row>
    <row r="156" spans="2:6" x14ac:dyDescent="0.2">
      <c r="B156" s="2" t="s">
        <v>22</v>
      </c>
    </row>
    <row r="157" spans="2:6" x14ac:dyDescent="0.2">
      <c r="B157" s="2" t="s">
        <v>23</v>
      </c>
    </row>
    <row r="158" spans="2:6" x14ac:dyDescent="0.2">
      <c r="B158" s="2" t="s">
        <v>5</v>
      </c>
    </row>
    <row r="159" spans="2:6" x14ac:dyDescent="0.2">
      <c r="B159" s="2" t="s">
        <v>24</v>
      </c>
    </row>
    <row r="160" spans="2:6" x14ac:dyDescent="0.2">
      <c r="B160" s="2" t="s">
        <v>25</v>
      </c>
    </row>
    <row r="161" spans="2:2" x14ac:dyDescent="0.2">
      <c r="B161" s="2" t="s">
        <v>26</v>
      </c>
    </row>
    <row r="162" spans="2:2" x14ac:dyDescent="0.2">
      <c r="B162" s="2" t="s">
        <v>27</v>
      </c>
    </row>
    <row r="163" spans="2:2" x14ac:dyDescent="0.2">
      <c r="B163" s="2" t="s">
        <v>28</v>
      </c>
    </row>
    <row r="164" spans="2:2" x14ac:dyDescent="0.2">
      <c r="B164" s="2" t="s">
        <v>29</v>
      </c>
    </row>
    <row r="165" spans="2:2" x14ac:dyDescent="0.2">
      <c r="B165" s="2" t="s">
        <v>30</v>
      </c>
    </row>
    <row r="166" spans="2:2" x14ac:dyDescent="0.2">
      <c r="B166" s="2" t="s">
        <v>31</v>
      </c>
    </row>
    <row r="167" spans="2:2" x14ac:dyDescent="0.2">
      <c r="B167" s="2" t="s">
        <v>32</v>
      </c>
    </row>
    <row r="168" spans="2:2" x14ac:dyDescent="0.2">
      <c r="B168" s="2" t="s">
        <v>33</v>
      </c>
    </row>
    <row r="169" spans="2:2" x14ac:dyDescent="0.2">
      <c r="B169" s="2" t="s">
        <v>34</v>
      </c>
    </row>
    <row r="170" spans="2:2" x14ac:dyDescent="0.2">
      <c r="B170" s="2" t="s">
        <v>35</v>
      </c>
    </row>
    <row r="171" spans="2:2" x14ac:dyDescent="0.2">
      <c r="B171" s="2" t="s">
        <v>36</v>
      </c>
    </row>
    <row r="172" spans="2:2" x14ac:dyDescent="0.2">
      <c r="B172" s="2" t="s">
        <v>37</v>
      </c>
    </row>
    <row r="173" spans="2:2" x14ac:dyDescent="0.2">
      <c r="B173" s="2" t="s">
        <v>38</v>
      </c>
    </row>
    <row r="174" spans="2:2" x14ac:dyDescent="0.2">
      <c r="B174" s="2" t="s">
        <v>39</v>
      </c>
    </row>
    <row r="175" spans="2:2" x14ac:dyDescent="0.2">
      <c r="B175" s="2" t="s">
        <v>40</v>
      </c>
    </row>
    <row r="176" spans="2:2" x14ac:dyDescent="0.2">
      <c r="B176" s="2" t="s">
        <v>41</v>
      </c>
    </row>
    <row r="177" spans="2:2" x14ac:dyDescent="0.2">
      <c r="B177" s="2" t="s">
        <v>42</v>
      </c>
    </row>
  </sheetData>
  <sheetProtection formatCells="0" formatColumns="0" formatRows="0" insertColumns="0" insertRows="0" insertHyperlinks="0" deleteColumns="0" deleteRows="0" sort="0" autoFilter="0" pivotTables="0"/>
  <protectedRanges>
    <protectedRange sqref="B19:F19" name="Range2"/>
    <protectedRange sqref="A3:D3" name="Range1"/>
  </protectedRanges>
  <customSheetViews>
    <customSheetView guid="{4770F18A-B840-4B20-A42E-C86FB8C2CAA9}" showPageBreaks="1" printArea="1" topLeftCell="A43">
      <selection activeCell="B60" sqref="B60"/>
      <pageMargins left="0.75" right="0.75" top="0.65" bottom="0.33" header="0.5" footer="0.47"/>
      <pageSetup orientation="portrait" r:id="rId1"/>
      <headerFooter alignWithMargins="0"/>
    </customSheetView>
  </customSheetViews>
  <mergeCells count="2">
    <mergeCell ref="D1:E1"/>
    <mergeCell ref="D2:E2"/>
  </mergeCells>
  <phoneticPr fontId="1" type="noConversion"/>
  <dataValidations count="4">
    <dataValidation type="list" allowBlank="1" showInputMessage="1" showErrorMessage="1" errorTitle="pick one" error="Choiise either yes or no" sqref="B46:B47" xr:uid="{00000000-0002-0000-0200-000000000000}">
      <formula1>$B$46:$B$47</formula1>
    </dataValidation>
    <dataValidation type="list" allowBlank="1" showInputMessage="1" showErrorMessage="1" sqref="C3" xr:uid="{00000000-0002-0000-0200-000001000000}">
      <formula1>$F$153:$F$154</formula1>
    </dataValidation>
    <dataValidation type="list" errorStyle="warning" allowBlank="1" showInputMessage="1" showErrorMessage="1" errorTitle="Choose" error="Choose from the list" promptTitle="Occupancy" prompt="Choose the most stringent occupancy" sqref="B3" xr:uid="{00000000-0002-0000-0200-000002000000}">
      <formula1>$B$153:$B$177</formula1>
    </dataValidation>
    <dataValidation type="list" allowBlank="1" showInputMessage="1" showErrorMessage="1" sqref="D3" xr:uid="{00000000-0002-0000-0200-000003000000}">
      <formula1>$B$46:$B$47</formula1>
    </dataValidation>
  </dataValidations>
  <pageMargins left="0.75" right="0.75" top="0.65" bottom="0.33" header="0.5" footer="0.47"/>
  <pageSetup orientation="portrait" r:id="rId2"/>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indexed="15"/>
  </sheetPr>
  <dimension ref="A1:W174"/>
  <sheetViews>
    <sheetView topLeftCell="A14" workbookViewId="0">
      <selection activeCell="A11" sqref="A11"/>
    </sheetView>
  </sheetViews>
  <sheetFormatPr defaultRowHeight="12.75" x14ac:dyDescent="0.2"/>
  <cols>
    <col min="1" max="1" width="54.140625" customWidth="1"/>
    <col min="2" max="2" width="13.5703125" style="2" customWidth="1"/>
    <col min="3" max="3" width="17.42578125" customWidth="1"/>
    <col min="4" max="4" width="9.42578125" customWidth="1"/>
    <col min="5" max="5" width="22.85546875" hidden="1" customWidth="1"/>
    <col min="6" max="6" width="22.7109375" customWidth="1"/>
    <col min="7" max="7" width="22.140625" customWidth="1"/>
    <col min="8" max="8" width="20.140625" customWidth="1"/>
    <col min="9" max="9" width="18.140625" customWidth="1"/>
    <col min="10" max="10" width="13.28515625" customWidth="1"/>
    <col min="18" max="18" width="11" customWidth="1"/>
  </cols>
  <sheetData>
    <row r="1" spans="1:23" ht="32.25" customHeight="1" x14ac:dyDescent="0.2">
      <c r="A1" s="4" t="s">
        <v>48</v>
      </c>
      <c r="D1" s="14"/>
      <c r="E1" s="14"/>
    </row>
    <row r="2" spans="1:23" ht="25.5" x14ac:dyDescent="0.2">
      <c r="A2" s="1"/>
      <c r="B2" s="3" t="s">
        <v>52</v>
      </c>
      <c r="D2" s="14"/>
      <c r="E2" s="14"/>
    </row>
    <row r="3" spans="1:23" ht="19.5" customHeight="1" x14ac:dyDescent="0.2">
      <c r="A3" s="16"/>
      <c r="B3" s="13"/>
      <c r="C3" s="11"/>
      <c r="D3" s="14"/>
    </row>
    <row r="4" spans="1:23" ht="34.5" customHeight="1" x14ac:dyDescent="0.2">
      <c r="A4" s="16" t="s">
        <v>203</v>
      </c>
      <c r="B4" s="13" t="s">
        <v>49</v>
      </c>
      <c r="C4" s="11" t="str">
        <f>IF(B4="yes","yes, supression system required",(IF(B4=" ","enter yes or no","no fire area sprinklers required")))</f>
        <v>yes, supression system required</v>
      </c>
      <c r="E4" s="14">
        <f>IF(B4="yes",1,0)</f>
        <v>1</v>
      </c>
    </row>
    <row r="5" spans="1:23" ht="21.75" customHeight="1" x14ac:dyDescent="0.25">
      <c r="A5" s="16" t="s">
        <v>53</v>
      </c>
      <c r="B5" s="13" t="s">
        <v>50</v>
      </c>
      <c r="C5" s="11" t="str">
        <f t="shared" ref="C5:C19" si="0">IF(B5="yes","yes, supression system required",(IF(B5=" ","enter yes or no","no fire area sprinklers required")))</f>
        <v>no fire area sprinklers required</v>
      </c>
      <c r="D5" s="24"/>
      <c r="E5" s="14">
        <f t="shared" ref="E5:E19" si="1">IF(B5="yes",1,0)</f>
        <v>0</v>
      </c>
      <c r="F5" s="25"/>
      <c r="G5" s="19"/>
      <c r="H5" s="19"/>
      <c r="I5" s="19"/>
      <c r="J5" s="19"/>
      <c r="K5" s="19"/>
      <c r="L5" s="19"/>
      <c r="M5" s="19"/>
      <c r="N5" s="19"/>
      <c r="O5" s="19"/>
      <c r="P5" s="19"/>
      <c r="Q5" s="19"/>
      <c r="R5" s="19"/>
      <c r="S5" s="19"/>
      <c r="T5" s="19"/>
      <c r="U5" s="19"/>
    </row>
    <row r="6" spans="1:23" ht="18.75" customHeight="1" x14ac:dyDescent="0.2">
      <c r="A6" s="16" t="s">
        <v>54</v>
      </c>
      <c r="B6" s="13" t="s">
        <v>50</v>
      </c>
      <c r="C6" s="11" t="str">
        <f t="shared" si="0"/>
        <v>no fire area sprinklers required</v>
      </c>
      <c r="D6" s="18"/>
      <c r="E6" s="14">
        <f t="shared" si="1"/>
        <v>0</v>
      </c>
      <c r="F6" s="19"/>
      <c r="G6" s="24"/>
      <c r="H6" s="19"/>
      <c r="I6" s="19"/>
      <c r="J6" s="19"/>
      <c r="K6" s="19"/>
      <c r="L6" s="19"/>
      <c r="M6" s="19"/>
      <c r="N6" s="18"/>
      <c r="O6" s="18"/>
      <c r="P6" s="26"/>
      <c r="Q6" s="18"/>
      <c r="R6" s="18"/>
      <c r="S6" s="19"/>
      <c r="T6" s="19"/>
      <c r="U6" s="19"/>
    </row>
    <row r="7" spans="1:23" ht="16.5" customHeight="1" x14ac:dyDescent="0.2">
      <c r="A7" s="16" t="s">
        <v>55</v>
      </c>
      <c r="B7" s="13" t="s">
        <v>50</v>
      </c>
      <c r="C7" s="11" t="str">
        <f t="shared" si="0"/>
        <v>no fire area sprinklers required</v>
      </c>
      <c r="D7" s="19"/>
      <c r="E7" s="14">
        <f t="shared" si="1"/>
        <v>0</v>
      </c>
      <c r="F7" s="18"/>
      <c r="G7" s="18"/>
      <c r="H7" s="18"/>
      <c r="I7" s="18"/>
      <c r="J7" s="18"/>
      <c r="K7" s="19"/>
      <c r="L7" s="19"/>
      <c r="M7" s="19" t="s">
        <v>13</v>
      </c>
      <c r="N7" s="18"/>
      <c r="O7" s="18"/>
      <c r="P7" s="18"/>
      <c r="Q7" s="18"/>
      <c r="R7" s="18"/>
      <c r="S7" s="19"/>
      <c r="T7" s="19"/>
      <c r="U7" s="19"/>
      <c r="W7">
        <v>0</v>
      </c>
    </row>
    <row r="8" spans="1:23" ht="32.25" customHeight="1" x14ac:dyDescent="0.2">
      <c r="A8" s="16" t="s">
        <v>56</v>
      </c>
      <c r="B8" s="13" t="s">
        <v>50</v>
      </c>
      <c r="C8" s="11" t="str">
        <f t="shared" si="0"/>
        <v>no fire area sprinklers required</v>
      </c>
      <c r="D8" s="19"/>
      <c r="E8" s="14">
        <f t="shared" si="1"/>
        <v>0</v>
      </c>
      <c r="F8" s="18"/>
      <c r="G8" s="18"/>
      <c r="H8" s="18"/>
      <c r="I8" s="18"/>
      <c r="J8" s="18"/>
      <c r="K8" s="19"/>
      <c r="L8" s="19"/>
      <c r="M8" s="19"/>
      <c r="N8" s="18"/>
      <c r="O8" s="18"/>
      <c r="P8" s="18"/>
      <c r="Q8" s="18"/>
      <c r="R8" s="18"/>
      <c r="S8" s="19"/>
      <c r="T8" s="19"/>
      <c r="U8" s="19"/>
      <c r="W8">
        <v>0</v>
      </c>
    </row>
    <row r="9" spans="1:23" ht="42.75" customHeight="1" x14ac:dyDescent="0.2">
      <c r="A9" s="16" t="s">
        <v>57</v>
      </c>
      <c r="B9" s="13" t="s">
        <v>50</v>
      </c>
      <c r="C9" s="11" t="str">
        <f t="shared" si="0"/>
        <v>no fire area sprinklers required</v>
      </c>
      <c r="D9" s="18"/>
      <c r="E9" s="14">
        <f t="shared" si="1"/>
        <v>0</v>
      </c>
      <c r="F9" s="18"/>
      <c r="G9" s="18"/>
      <c r="H9" s="18"/>
      <c r="I9" s="18"/>
      <c r="J9" s="18"/>
      <c r="K9" s="19"/>
      <c r="L9" s="19"/>
      <c r="M9" s="19"/>
      <c r="N9" s="18"/>
      <c r="O9" s="18"/>
      <c r="P9" s="18"/>
      <c r="Q9" s="18"/>
      <c r="R9" s="18"/>
      <c r="S9" s="19"/>
      <c r="T9" s="19"/>
      <c r="U9" s="19"/>
      <c r="W9">
        <v>0</v>
      </c>
    </row>
    <row r="10" spans="1:23" ht="43.5" customHeight="1" x14ac:dyDescent="0.2">
      <c r="A10" s="16" t="s">
        <v>204</v>
      </c>
      <c r="B10" s="13" t="s">
        <v>50</v>
      </c>
      <c r="C10" s="11" t="str">
        <f t="shared" si="0"/>
        <v>no fire area sprinklers required</v>
      </c>
      <c r="D10" s="18"/>
      <c r="E10" s="14">
        <f t="shared" si="1"/>
        <v>0</v>
      </c>
      <c r="F10" s="18"/>
      <c r="G10" s="18"/>
      <c r="H10" s="18"/>
      <c r="I10" s="18"/>
      <c r="J10" s="18"/>
      <c r="K10" s="19"/>
      <c r="L10" s="19"/>
      <c r="M10" s="19"/>
      <c r="N10" s="18"/>
      <c r="O10" s="18"/>
      <c r="P10" s="18"/>
      <c r="Q10" s="18"/>
      <c r="R10" s="18"/>
      <c r="S10" s="19"/>
      <c r="T10" s="19"/>
      <c r="U10" s="19"/>
      <c r="W10">
        <v>0</v>
      </c>
    </row>
    <row r="11" spans="1:23" ht="31.5" customHeight="1" x14ac:dyDescent="0.2">
      <c r="A11" s="17" t="s">
        <v>58</v>
      </c>
      <c r="B11" s="13" t="s">
        <v>50</v>
      </c>
      <c r="C11" s="11" t="str">
        <f t="shared" si="0"/>
        <v>no fire area sprinklers required</v>
      </c>
      <c r="D11" s="18"/>
      <c r="E11" s="14">
        <f t="shared" si="1"/>
        <v>0</v>
      </c>
      <c r="F11" s="18"/>
      <c r="G11" s="18"/>
      <c r="H11" s="18"/>
      <c r="I11" s="18"/>
      <c r="J11" s="18"/>
      <c r="K11" s="19"/>
      <c r="L11" s="19"/>
      <c r="M11" s="19"/>
      <c r="N11" s="18"/>
      <c r="O11" s="18"/>
      <c r="P11" s="18"/>
      <c r="Q11" s="18"/>
      <c r="R11" s="18"/>
      <c r="S11" s="19"/>
      <c r="T11" s="19"/>
      <c r="U11" s="19"/>
      <c r="W11">
        <v>0</v>
      </c>
    </row>
    <row r="12" spans="1:23" ht="25.5" hidden="1" x14ac:dyDescent="0.2">
      <c r="A12" s="17" t="s">
        <v>59</v>
      </c>
      <c r="B12" s="13" t="s">
        <v>50</v>
      </c>
      <c r="C12" s="11" t="str">
        <f t="shared" si="0"/>
        <v>no fire area sprinklers required</v>
      </c>
      <c r="D12" s="18"/>
      <c r="E12" s="14">
        <f t="shared" si="1"/>
        <v>0</v>
      </c>
      <c r="F12" s="18"/>
      <c r="G12" s="18"/>
      <c r="H12" s="18"/>
      <c r="I12" s="18"/>
      <c r="J12" s="18"/>
      <c r="K12" s="19"/>
      <c r="L12" s="19"/>
      <c r="M12" s="19"/>
      <c r="N12" s="18"/>
      <c r="O12" s="18"/>
      <c r="P12" s="18"/>
      <c r="Q12" s="18"/>
      <c r="R12" s="18"/>
      <c r="S12" s="19"/>
      <c r="T12" s="19"/>
      <c r="U12" s="19"/>
      <c r="W12">
        <v>0</v>
      </c>
    </row>
    <row r="13" spans="1:23" ht="25.5" hidden="1" x14ac:dyDescent="0.2">
      <c r="A13" s="17" t="s">
        <v>60</v>
      </c>
      <c r="B13" s="13" t="s">
        <v>50</v>
      </c>
      <c r="C13" s="11" t="str">
        <f t="shared" si="0"/>
        <v>no fire area sprinklers required</v>
      </c>
      <c r="D13" s="18"/>
      <c r="E13" s="14">
        <f t="shared" si="1"/>
        <v>0</v>
      </c>
      <c r="F13" s="18"/>
      <c r="G13" s="18"/>
      <c r="H13" s="18"/>
      <c r="I13" s="18"/>
      <c r="J13" s="18"/>
      <c r="K13" s="19"/>
      <c r="L13" s="19"/>
      <c r="M13" s="19"/>
      <c r="N13" s="18"/>
      <c r="O13" s="18"/>
      <c r="P13" s="18"/>
      <c r="Q13" s="18"/>
      <c r="R13" s="18"/>
      <c r="S13" s="19"/>
      <c r="T13" s="19"/>
      <c r="U13" s="19"/>
      <c r="W13">
        <v>0</v>
      </c>
    </row>
    <row r="14" spans="1:23" ht="29.25" customHeight="1" x14ac:dyDescent="0.2">
      <c r="A14" s="17" t="s">
        <v>61</v>
      </c>
      <c r="B14" s="13" t="s">
        <v>50</v>
      </c>
      <c r="C14" s="11" t="str">
        <f t="shared" si="0"/>
        <v>no fire area sprinklers required</v>
      </c>
      <c r="D14" s="18"/>
      <c r="E14" s="14">
        <f t="shared" si="1"/>
        <v>0</v>
      </c>
      <c r="F14" s="18"/>
      <c r="G14" s="18"/>
      <c r="H14" s="18"/>
      <c r="I14" s="18"/>
      <c r="J14" s="18"/>
      <c r="K14" s="19"/>
      <c r="L14" s="19"/>
      <c r="M14" s="19"/>
      <c r="N14" s="18"/>
      <c r="O14" s="18"/>
      <c r="P14" s="18"/>
      <c r="Q14" s="18"/>
      <c r="R14" s="18"/>
      <c r="S14" s="19"/>
      <c r="T14" s="19"/>
      <c r="U14" s="19"/>
      <c r="W14">
        <v>0</v>
      </c>
    </row>
    <row r="15" spans="1:23" hidden="1" x14ac:dyDescent="0.2">
      <c r="A15" s="17" t="s">
        <v>62</v>
      </c>
      <c r="B15" s="13" t="s">
        <v>50</v>
      </c>
      <c r="C15" s="11" t="str">
        <f t="shared" si="0"/>
        <v>no fire area sprinklers required</v>
      </c>
      <c r="D15" s="18"/>
      <c r="E15" s="14">
        <f t="shared" si="1"/>
        <v>0</v>
      </c>
      <c r="F15" s="22"/>
      <c r="G15" s="18"/>
      <c r="H15" s="18"/>
      <c r="I15" s="18"/>
      <c r="J15" s="22"/>
      <c r="K15" s="19"/>
      <c r="L15" s="19"/>
      <c r="M15" s="19"/>
      <c r="N15" s="18"/>
      <c r="O15" s="18"/>
      <c r="P15" s="18"/>
      <c r="Q15" s="18"/>
      <c r="R15" s="18"/>
      <c r="S15" s="19"/>
      <c r="T15" s="19"/>
      <c r="U15" s="19"/>
    </row>
    <row r="16" spans="1:23" ht="18.75" customHeight="1" x14ac:dyDescent="0.2">
      <c r="A16" s="17" t="s">
        <v>63</v>
      </c>
      <c r="B16" s="13" t="s">
        <v>50</v>
      </c>
      <c r="C16" s="11" t="str">
        <f t="shared" si="0"/>
        <v>no fire area sprinklers required</v>
      </c>
      <c r="D16" s="18"/>
      <c r="E16" s="14">
        <f t="shared" si="1"/>
        <v>0</v>
      </c>
      <c r="F16" s="22"/>
      <c r="G16" s="18"/>
      <c r="H16" s="18"/>
      <c r="I16" s="18"/>
      <c r="J16" s="22"/>
      <c r="K16" s="19"/>
      <c r="L16" s="19"/>
      <c r="M16" s="19"/>
      <c r="N16" s="18"/>
      <c r="O16" s="18"/>
      <c r="P16" s="18"/>
      <c r="Q16" s="18"/>
      <c r="R16" s="18"/>
      <c r="S16" s="19"/>
      <c r="T16" s="19"/>
      <c r="U16" s="19"/>
    </row>
    <row r="17" spans="1:21" ht="20.25" customHeight="1" x14ac:dyDescent="0.2">
      <c r="A17" s="17" t="s">
        <v>64</v>
      </c>
      <c r="B17" s="13" t="s">
        <v>50</v>
      </c>
      <c r="C17" s="11" t="str">
        <f t="shared" si="0"/>
        <v>no fire area sprinklers required</v>
      </c>
      <c r="D17" s="18"/>
      <c r="E17" s="14">
        <f t="shared" si="1"/>
        <v>0</v>
      </c>
      <c r="F17" s="22"/>
      <c r="G17" s="18"/>
      <c r="H17" s="18"/>
      <c r="I17" s="18"/>
      <c r="J17" s="22"/>
      <c r="K17" s="19"/>
      <c r="L17" s="19"/>
      <c r="M17" s="19"/>
      <c r="N17" s="18"/>
      <c r="O17" s="18"/>
      <c r="P17" s="18"/>
      <c r="Q17" s="18"/>
      <c r="R17" s="18"/>
      <c r="S17" s="19"/>
      <c r="T17" s="19"/>
      <c r="U17" s="19"/>
    </row>
    <row r="18" spans="1:21" ht="36.75" customHeight="1" x14ac:dyDescent="0.2">
      <c r="A18" s="17" t="s">
        <v>65</v>
      </c>
      <c r="B18" s="13" t="s">
        <v>50</v>
      </c>
      <c r="C18" s="11" t="str">
        <f t="shared" si="0"/>
        <v>no fire area sprinklers required</v>
      </c>
      <c r="D18" s="18"/>
      <c r="E18" s="14">
        <f t="shared" si="1"/>
        <v>0</v>
      </c>
      <c r="F18" s="22"/>
      <c r="G18" s="22"/>
      <c r="H18" s="22"/>
      <c r="I18" s="22"/>
      <c r="J18" s="22"/>
      <c r="K18" s="19"/>
      <c r="L18" s="19"/>
      <c r="M18" s="19"/>
      <c r="N18" s="19"/>
      <c r="O18" s="19"/>
      <c r="P18" s="19"/>
      <c r="Q18" s="19"/>
      <c r="R18" s="19"/>
      <c r="S18" s="19"/>
      <c r="T18" s="19"/>
      <c r="U18" s="19"/>
    </row>
    <row r="19" spans="1:21" ht="16.5" customHeight="1" x14ac:dyDescent="0.2">
      <c r="A19" s="17" t="s">
        <v>207</v>
      </c>
      <c r="B19" s="13" t="s">
        <v>50</v>
      </c>
      <c r="C19" s="11" t="str">
        <f t="shared" si="0"/>
        <v>no fire area sprinklers required</v>
      </c>
      <c r="D19" s="18"/>
      <c r="E19" s="14">
        <f t="shared" si="1"/>
        <v>0</v>
      </c>
      <c r="F19" s="18"/>
      <c r="G19" s="18"/>
      <c r="H19" s="18"/>
      <c r="I19" s="18"/>
      <c r="J19" s="18"/>
      <c r="K19" s="19"/>
      <c r="L19" s="19"/>
      <c r="M19" s="19"/>
      <c r="N19" s="19"/>
      <c r="O19" s="19"/>
      <c r="P19" s="19"/>
      <c r="Q19" s="19"/>
      <c r="R19" s="19"/>
      <c r="S19" s="19"/>
      <c r="T19" s="19"/>
      <c r="U19" s="19"/>
    </row>
    <row r="20" spans="1:21" hidden="1" x14ac:dyDescent="0.2">
      <c r="D20" s="18"/>
      <c r="E20" s="21"/>
      <c r="F20" s="18"/>
      <c r="G20" s="18"/>
      <c r="H20" s="18"/>
      <c r="I20" s="18"/>
      <c r="J20" s="18"/>
      <c r="K20" s="19"/>
      <c r="L20" s="19"/>
      <c r="M20" s="19"/>
      <c r="N20" s="19">
        <f>SUM(N7:N17)</f>
        <v>0</v>
      </c>
      <c r="O20" s="19">
        <f>SUM(O7:O17)</f>
        <v>0</v>
      </c>
      <c r="P20" s="19">
        <f>SUM(P7:P17)</f>
        <v>0</v>
      </c>
      <c r="Q20" s="19">
        <f>SUM(Q7:Q17)</f>
        <v>0</v>
      </c>
      <c r="R20" s="19">
        <f>SUM(R7:R17)</f>
        <v>0</v>
      </c>
      <c r="S20" s="19"/>
      <c r="T20" s="19"/>
      <c r="U20" s="19"/>
    </row>
    <row r="21" spans="1:21" hidden="1" x14ac:dyDescent="0.2">
      <c r="D21" s="18"/>
      <c r="E21" s="20"/>
      <c r="F21" s="18"/>
      <c r="G21" s="18"/>
      <c r="H21" s="18"/>
      <c r="I21" s="18"/>
      <c r="J21" s="18"/>
      <c r="K21" s="19"/>
      <c r="L21" s="19"/>
      <c r="M21" s="19"/>
      <c r="N21" s="19"/>
      <c r="O21" s="19"/>
      <c r="P21" s="19"/>
      <c r="Q21" s="19"/>
      <c r="R21" s="19"/>
      <c r="S21" s="19"/>
      <c r="T21" s="19"/>
      <c r="U21" s="19"/>
    </row>
    <row r="22" spans="1:21" hidden="1" x14ac:dyDescent="0.2">
      <c r="D22" s="18"/>
      <c r="E22" s="20"/>
      <c r="F22" s="18"/>
      <c r="G22" s="18"/>
      <c r="H22" s="18"/>
      <c r="I22" s="18"/>
      <c r="J22" s="18"/>
      <c r="K22" s="19"/>
      <c r="L22" s="19"/>
      <c r="M22" s="19"/>
      <c r="N22" s="19"/>
      <c r="O22" s="19"/>
      <c r="P22" s="19"/>
      <c r="Q22" s="19"/>
      <c r="R22" s="19"/>
      <c r="S22" s="19"/>
      <c r="T22" s="19"/>
      <c r="U22" s="19"/>
    </row>
    <row r="23" spans="1:21" ht="16.5" customHeight="1" x14ac:dyDescent="0.2">
      <c r="A23" s="17" t="s">
        <v>205</v>
      </c>
      <c r="B23" s="13" t="s">
        <v>50</v>
      </c>
      <c r="C23" s="11" t="str">
        <f t="shared" ref="C23" si="2">IF(B23="yes","yes, supression system required",(IF(B23=" ","enter yes or no","no fire area sprinklers required")))</f>
        <v>no fire area sprinklers required</v>
      </c>
      <c r="D23" s="18"/>
      <c r="E23" s="14">
        <f t="shared" ref="E23" si="3">IF(B23="yes",1,0)</f>
        <v>0</v>
      </c>
      <c r="F23" s="18"/>
      <c r="G23" s="18"/>
      <c r="H23" s="18"/>
      <c r="I23" s="18"/>
      <c r="J23" s="18"/>
      <c r="K23" s="19"/>
      <c r="L23" s="19"/>
      <c r="M23" s="19"/>
      <c r="N23" s="19"/>
      <c r="O23" s="19"/>
      <c r="P23" s="19"/>
      <c r="Q23" s="19"/>
      <c r="R23" s="19"/>
      <c r="S23" s="19"/>
      <c r="T23" s="19"/>
      <c r="U23" s="19"/>
    </row>
    <row r="24" spans="1:21" ht="16.5" customHeight="1" x14ac:dyDescent="0.2">
      <c r="A24" s="17" t="s">
        <v>206</v>
      </c>
      <c r="B24" s="13" t="s">
        <v>50</v>
      </c>
      <c r="C24" s="11" t="str">
        <f t="shared" ref="C24" si="4">IF(B24="yes","yes, supression system required",(IF(B24=" ","enter yes or no","no fire area sprinklers required")))</f>
        <v>no fire area sprinklers required</v>
      </c>
      <c r="D24" s="18"/>
      <c r="E24" s="14">
        <f t="shared" ref="E24" si="5">IF(B24="yes",1,0)</f>
        <v>0</v>
      </c>
      <c r="F24" s="18"/>
      <c r="G24" s="18"/>
      <c r="H24" s="18"/>
      <c r="I24" s="18"/>
      <c r="J24" s="18"/>
      <c r="K24" s="19"/>
      <c r="L24" s="19"/>
      <c r="M24" s="19"/>
      <c r="N24" s="19"/>
      <c r="O24" s="19"/>
      <c r="P24" s="19"/>
      <c r="Q24" s="19"/>
      <c r="R24" s="19"/>
      <c r="S24" s="19"/>
      <c r="T24" s="19"/>
      <c r="U24" s="19"/>
    </row>
    <row r="25" spans="1:21" x14ac:dyDescent="0.2">
      <c r="D25" s="18"/>
      <c r="E25" s="23">
        <f>SUM(E4:E24)</f>
        <v>1</v>
      </c>
      <c r="F25" s="18"/>
      <c r="G25" s="18"/>
      <c r="H25" s="18"/>
      <c r="I25" s="18"/>
      <c r="J25" s="18"/>
      <c r="K25" s="19"/>
      <c r="L25" s="19"/>
      <c r="M25" s="19"/>
      <c r="N25" s="19"/>
      <c r="O25" s="19"/>
      <c r="P25" s="19"/>
      <c r="Q25" s="19"/>
      <c r="R25" s="19"/>
      <c r="S25" s="19"/>
      <c r="T25" s="19"/>
      <c r="U25" s="19"/>
    </row>
    <row r="26" spans="1:21" x14ac:dyDescent="0.2">
      <c r="D26" s="18"/>
      <c r="E26" s="19"/>
      <c r="F26" s="19"/>
      <c r="G26" s="19"/>
      <c r="H26" s="19"/>
      <c r="I26" s="19"/>
      <c r="J26" s="19"/>
      <c r="K26" s="19"/>
      <c r="L26" s="19"/>
      <c r="M26" s="19"/>
      <c r="N26" s="19"/>
      <c r="O26" s="19"/>
      <c r="P26" s="19"/>
      <c r="Q26" s="19"/>
      <c r="R26" s="19"/>
      <c r="S26" s="19"/>
      <c r="T26" s="19"/>
      <c r="U26" s="19"/>
    </row>
    <row r="27" spans="1:21" x14ac:dyDescent="0.2">
      <c r="D27" s="18"/>
      <c r="E27" s="19"/>
      <c r="F27" s="24"/>
      <c r="G27" s="19"/>
      <c r="H27" s="19"/>
      <c r="I27" s="19"/>
      <c r="J27" s="19"/>
      <c r="K27" s="19"/>
      <c r="L27" s="19"/>
      <c r="M27" s="19"/>
      <c r="N27" s="19"/>
      <c r="O27" s="19"/>
      <c r="P27" s="19"/>
      <c r="Q27" s="19"/>
      <c r="R27" s="19"/>
      <c r="S27" s="19"/>
      <c r="T27" s="19"/>
      <c r="U27" s="19"/>
    </row>
    <row r="28" spans="1:21" x14ac:dyDescent="0.2">
      <c r="D28" s="19"/>
      <c r="E28" s="19"/>
      <c r="F28" s="19"/>
      <c r="G28" s="19"/>
      <c r="H28" s="19"/>
      <c r="I28" s="19"/>
      <c r="J28" s="19"/>
      <c r="K28" s="19"/>
      <c r="L28" s="19"/>
      <c r="M28" s="19"/>
      <c r="N28" s="19"/>
      <c r="O28" s="19"/>
      <c r="P28" s="19"/>
      <c r="Q28" s="19"/>
      <c r="R28" s="19"/>
      <c r="S28" s="19"/>
      <c r="T28" s="19"/>
      <c r="U28" s="19"/>
    </row>
    <row r="29" spans="1:21" x14ac:dyDescent="0.2">
      <c r="D29" s="19"/>
      <c r="E29" s="18"/>
      <c r="F29" s="19"/>
      <c r="G29" s="19"/>
      <c r="H29" s="19"/>
      <c r="I29" s="19"/>
      <c r="J29" s="19"/>
      <c r="K29" s="19"/>
      <c r="L29" s="19"/>
      <c r="M29" s="19"/>
      <c r="N29" s="19"/>
      <c r="O29" s="19"/>
      <c r="P29" s="19"/>
      <c r="Q29" s="19"/>
      <c r="R29" s="19"/>
      <c r="S29" s="19"/>
      <c r="T29" s="19"/>
      <c r="U29" s="19"/>
    </row>
    <row r="30" spans="1:21" x14ac:dyDescent="0.2">
      <c r="D30" s="19"/>
      <c r="E30" s="18"/>
      <c r="F30" s="19"/>
      <c r="G30" s="19"/>
      <c r="H30" s="19"/>
      <c r="I30" s="19"/>
      <c r="J30" s="19"/>
      <c r="K30" s="19"/>
      <c r="L30" s="19"/>
      <c r="M30" s="19"/>
      <c r="N30" s="19"/>
      <c r="O30" s="19"/>
      <c r="P30" s="19"/>
      <c r="Q30" s="19"/>
      <c r="R30" s="19"/>
      <c r="S30" s="19"/>
      <c r="T30" s="19"/>
      <c r="U30" s="19"/>
    </row>
    <row r="31" spans="1:21" x14ac:dyDescent="0.2">
      <c r="D31" s="19"/>
      <c r="E31" s="18"/>
      <c r="F31" s="19"/>
      <c r="G31" s="19"/>
      <c r="H31" s="19"/>
      <c r="I31" s="19"/>
      <c r="J31" s="19"/>
      <c r="K31" s="19"/>
      <c r="L31" s="19"/>
      <c r="M31" s="19"/>
      <c r="N31" s="19"/>
      <c r="O31" s="19"/>
      <c r="P31" s="19"/>
      <c r="Q31" s="19"/>
      <c r="R31" s="19"/>
      <c r="S31" s="19"/>
      <c r="T31" s="19"/>
      <c r="U31" s="19"/>
    </row>
    <row r="32" spans="1:21" x14ac:dyDescent="0.2">
      <c r="D32" s="19"/>
      <c r="E32" s="18"/>
      <c r="F32" s="19"/>
      <c r="G32" s="19"/>
      <c r="H32" s="19"/>
      <c r="I32" s="19"/>
      <c r="J32" s="19"/>
      <c r="K32" s="19"/>
      <c r="L32" s="19"/>
      <c r="M32" s="19"/>
      <c r="N32" s="19"/>
      <c r="O32" s="19"/>
      <c r="P32" s="19"/>
      <c r="Q32" s="19"/>
      <c r="R32" s="19"/>
      <c r="S32" s="19"/>
      <c r="T32" s="19"/>
      <c r="U32" s="19"/>
    </row>
    <row r="33" spans="1:21" x14ac:dyDescent="0.2">
      <c r="D33" s="19"/>
      <c r="E33" s="18"/>
      <c r="F33" s="19"/>
      <c r="G33" s="19"/>
      <c r="H33" s="19"/>
      <c r="I33" s="19"/>
      <c r="J33" s="19"/>
      <c r="K33" s="19"/>
      <c r="L33" s="19"/>
      <c r="M33" s="19"/>
      <c r="N33" s="19"/>
      <c r="O33" s="19"/>
      <c r="P33" s="19"/>
      <c r="Q33" s="19"/>
      <c r="R33" s="19"/>
      <c r="S33" s="19"/>
      <c r="T33" s="19"/>
      <c r="U33" s="19"/>
    </row>
    <row r="34" spans="1:21" x14ac:dyDescent="0.2">
      <c r="D34" s="19"/>
      <c r="E34" s="18"/>
      <c r="F34" s="19"/>
      <c r="G34" s="19"/>
      <c r="H34" s="19"/>
      <c r="I34" s="19"/>
      <c r="J34" s="19"/>
      <c r="K34" s="19"/>
      <c r="L34" s="19"/>
      <c r="M34" s="19"/>
      <c r="N34" s="19"/>
      <c r="O34" s="19"/>
      <c r="P34" s="19"/>
      <c r="Q34" s="19"/>
      <c r="R34" s="19"/>
      <c r="S34" s="19"/>
      <c r="T34" s="19"/>
      <c r="U34" s="19"/>
    </row>
    <row r="35" spans="1:21" x14ac:dyDescent="0.2">
      <c r="D35" s="19"/>
      <c r="E35" s="18"/>
      <c r="F35" s="19"/>
      <c r="G35" s="19"/>
      <c r="H35" s="19"/>
      <c r="I35" s="19"/>
      <c r="J35" s="19"/>
      <c r="K35" s="19"/>
      <c r="L35" s="19"/>
      <c r="M35" s="19"/>
      <c r="N35" s="19"/>
      <c r="O35" s="19"/>
      <c r="P35" s="19"/>
      <c r="Q35" s="19"/>
      <c r="R35" s="19"/>
      <c r="S35" s="19"/>
      <c r="T35" s="19"/>
      <c r="U35" s="19"/>
    </row>
    <row r="36" spans="1:21" x14ac:dyDescent="0.2">
      <c r="D36" s="19"/>
      <c r="E36" s="18"/>
      <c r="F36" s="19"/>
      <c r="G36" s="19"/>
      <c r="H36" s="19"/>
      <c r="I36" s="19"/>
      <c r="J36" s="19"/>
      <c r="K36" s="19"/>
      <c r="L36" s="19"/>
      <c r="M36" s="19"/>
      <c r="N36" s="19"/>
      <c r="O36" s="19"/>
      <c r="P36" s="19"/>
      <c r="Q36" s="19"/>
      <c r="R36" s="19"/>
      <c r="S36" s="19"/>
      <c r="T36" s="19"/>
      <c r="U36" s="19"/>
    </row>
    <row r="37" spans="1:21" x14ac:dyDescent="0.2">
      <c r="D37" s="19"/>
      <c r="E37" s="18"/>
      <c r="F37" s="19"/>
      <c r="G37" s="19"/>
      <c r="H37" s="19"/>
      <c r="I37" s="19"/>
      <c r="J37" s="19"/>
      <c r="K37" s="19"/>
      <c r="L37" s="19"/>
      <c r="M37" s="19"/>
      <c r="N37" s="19"/>
      <c r="O37" s="19"/>
      <c r="P37" s="19"/>
      <c r="Q37" s="19"/>
      <c r="R37" s="19"/>
      <c r="S37" s="19"/>
      <c r="T37" s="19"/>
      <c r="U37" s="19"/>
    </row>
    <row r="38" spans="1:21" x14ac:dyDescent="0.2">
      <c r="D38" s="19"/>
      <c r="E38" s="18"/>
      <c r="F38" s="19"/>
      <c r="G38" s="27" t="str">
        <f>IF(G17="no further reduction","not required",(IF(G17&gt;1999,+G17*120," ")))</f>
        <v xml:space="preserve"> </v>
      </c>
      <c r="H38" s="27" t="str">
        <f>IF(H17="no further reduction","not required",(IF(H17&gt;1999,+H17*120," ")))</f>
        <v xml:space="preserve"> </v>
      </c>
      <c r="I38" s="27" t="str">
        <f>IF(I17="no further reduction","not required",(IF(I17&gt;1999,+I17*120," ")))</f>
        <v xml:space="preserve"> </v>
      </c>
      <c r="J38" s="19" t="str">
        <f>IF(J17="no further reduction","not required",(IF(J17&gt;1999,+J17*120," ")))</f>
        <v xml:space="preserve"> </v>
      </c>
      <c r="K38" s="19"/>
      <c r="L38" s="19"/>
      <c r="M38" s="19"/>
      <c r="N38" s="19"/>
      <c r="O38" s="19"/>
      <c r="P38" s="19"/>
      <c r="Q38" s="19"/>
      <c r="R38" s="19"/>
      <c r="S38" s="19"/>
      <c r="T38" s="19"/>
      <c r="U38" s="19"/>
    </row>
    <row r="39" spans="1:21" x14ac:dyDescent="0.2">
      <c r="D39" s="19"/>
      <c r="E39" s="18"/>
      <c r="F39" s="19"/>
      <c r="G39" s="27" t="str">
        <f>IF(G17&gt;1999,(G17*60),IF(G17&gt;501," "," "))</f>
        <v xml:space="preserve"> </v>
      </c>
      <c r="H39" s="27" t="str">
        <f>IF(H17&gt;1999,(H17*60),IF(H17&gt;501," "," "))</f>
        <v xml:space="preserve"> </v>
      </c>
      <c r="I39" s="27" t="str">
        <f>IF(I17&gt;1999,(I17*60),IF(I17&gt;501," "," "))</f>
        <v xml:space="preserve"> </v>
      </c>
      <c r="J39" s="19" t="str">
        <f>IF(J17&gt;1999,(J17*60),IF(J17&gt;501," "," "))</f>
        <v xml:space="preserve"> </v>
      </c>
      <c r="K39" s="19"/>
      <c r="L39" s="19"/>
      <c r="M39" s="19"/>
      <c r="N39" s="19"/>
      <c r="O39" s="19"/>
      <c r="P39" s="19"/>
      <c r="Q39" s="19"/>
      <c r="R39" s="19"/>
      <c r="S39" s="19"/>
      <c r="T39" s="19"/>
      <c r="U39" s="19"/>
    </row>
    <row r="40" spans="1:21" x14ac:dyDescent="0.2">
      <c r="D40" s="19"/>
      <c r="E40" s="18"/>
      <c r="F40" s="19"/>
      <c r="G40" s="19"/>
      <c r="H40" s="19"/>
      <c r="I40" s="19"/>
      <c r="J40" s="19"/>
      <c r="K40" s="19"/>
      <c r="L40" s="19"/>
      <c r="M40" s="19"/>
      <c r="N40" s="19"/>
      <c r="O40" s="19"/>
      <c r="P40" s="19"/>
      <c r="Q40" s="19"/>
      <c r="R40" s="19"/>
      <c r="S40" s="19"/>
      <c r="T40" s="19"/>
      <c r="U40" s="19"/>
    </row>
    <row r="41" spans="1:21" x14ac:dyDescent="0.2">
      <c r="D41" s="19"/>
      <c r="E41" s="18"/>
      <c r="F41" s="19"/>
      <c r="G41" s="19"/>
      <c r="H41" s="19"/>
      <c r="I41" s="19"/>
      <c r="J41" s="19"/>
      <c r="K41" s="19"/>
      <c r="L41" s="19"/>
      <c r="M41" s="19"/>
      <c r="N41" s="19"/>
      <c r="O41" s="19"/>
      <c r="P41" s="19"/>
      <c r="Q41" s="19"/>
      <c r="R41" s="19"/>
      <c r="S41" s="19"/>
      <c r="T41" s="19"/>
      <c r="U41" s="19"/>
    </row>
    <row r="42" spans="1:21" x14ac:dyDescent="0.2">
      <c r="D42" s="19"/>
      <c r="E42" s="18"/>
      <c r="F42" s="19"/>
      <c r="G42" s="19"/>
      <c r="H42" s="19"/>
      <c r="I42" s="19"/>
      <c r="J42" s="19"/>
      <c r="K42" s="19"/>
      <c r="L42" s="19"/>
      <c r="M42" s="19"/>
      <c r="N42" s="19"/>
      <c r="O42" s="19"/>
      <c r="P42" s="19"/>
      <c r="Q42" s="19"/>
      <c r="R42" s="19"/>
      <c r="S42" s="19"/>
      <c r="T42" s="19"/>
      <c r="U42" s="19"/>
    </row>
    <row r="43" spans="1:21" x14ac:dyDescent="0.2">
      <c r="D43" s="19"/>
      <c r="E43" s="18"/>
    </row>
    <row r="44" spans="1:21" x14ac:dyDescent="0.2">
      <c r="D44" s="19"/>
      <c r="E44" s="18"/>
    </row>
    <row r="45" spans="1:21" x14ac:dyDescent="0.2">
      <c r="D45" s="19"/>
      <c r="E45" s="18"/>
    </row>
    <row r="46" spans="1:21" x14ac:dyDescent="0.2">
      <c r="D46" s="19"/>
      <c r="E46" s="18"/>
    </row>
    <row r="47" spans="1:21" x14ac:dyDescent="0.2">
      <c r="A47" s="58"/>
      <c r="D47" s="19"/>
      <c r="E47" s="19"/>
    </row>
    <row r="48" spans="1:21" x14ac:dyDescent="0.2">
      <c r="A48" s="3"/>
      <c r="D48" s="19"/>
      <c r="E48" s="19"/>
    </row>
    <row r="49" spans="1:10" x14ac:dyDescent="0.2">
      <c r="A49" s="2"/>
      <c r="D49" s="19"/>
      <c r="E49" s="19"/>
    </row>
    <row r="50" spans="1:10" x14ac:dyDescent="0.2">
      <c r="A50" s="2"/>
    </row>
    <row r="51" spans="1:10" x14ac:dyDescent="0.2">
      <c r="A51" s="2"/>
    </row>
    <row r="52" spans="1:10" x14ac:dyDescent="0.2">
      <c r="A52" s="2"/>
    </row>
    <row r="53" spans="1:10" x14ac:dyDescent="0.2">
      <c r="A53" s="2"/>
    </row>
    <row r="54" spans="1:10" x14ac:dyDescent="0.2">
      <c r="A54" s="2"/>
    </row>
    <row r="55" spans="1:10" x14ac:dyDescent="0.2">
      <c r="A55" s="2"/>
    </row>
    <row r="56" spans="1:10" x14ac:dyDescent="0.2">
      <c r="A56" s="2"/>
    </row>
    <row r="57" spans="1:10" x14ac:dyDescent="0.2">
      <c r="A57" s="2"/>
      <c r="B57" s="12" t="s">
        <v>66</v>
      </c>
    </row>
    <row r="58" spans="1:10" x14ac:dyDescent="0.2">
      <c r="A58" s="2"/>
      <c r="B58" s="12" t="e">
        <f>IF(#REF!="R1",-0.25,(IF(#REF!="R2",-0.25,(IF(#REF!="S2",-0.25,(IF(#REF!="I1",-0.25,(IF(#REF!="I2",-0.25,(IF(#REF!="i3",-0.25,C59)))))))))))</f>
        <v>#REF!</v>
      </c>
    </row>
    <row r="59" spans="1:10" x14ac:dyDescent="0.2">
      <c r="A59" s="2"/>
      <c r="B59" s="12" t="e">
        <f>IF(#REF!="E1d",-0.2,(IF(#REF!="A1",-0.2,(IF(#REF!="A3",-0.2,(IF(#REF!="A4",-0.2,(IF(#REF!="A5",-0.2,C59)))))))))</f>
        <v>#REF!</v>
      </c>
    </row>
    <row r="60" spans="1:10" x14ac:dyDescent="0.2">
      <c r="A60" s="2"/>
      <c r="B60" s="12" t="e">
        <f>IF(#REF!="E",-0.15,(IF(#REF!="I4",-0.15,C59)))</f>
        <v>#REF!</v>
      </c>
    </row>
    <row r="61" spans="1:10" x14ac:dyDescent="0.2">
      <c r="A61" s="2"/>
      <c r="B61" s="12" t="e">
        <f>IF(#REF!="B",-0.1,(IF(#REF!="A5",-0.1,C59)))</f>
        <v>#REF!</v>
      </c>
    </row>
    <row r="62" spans="1:10" x14ac:dyDescent="0.2">
      <c r="B62" s="12" t="e">
        <f>IF(#REF!="S1",0.1,(IF(#REF!="mfd",0.1,C59)))</f>
        <v>#REF!</v>
      </c>
      <c r="E62" s="9" t="s">
        <v>8</v>
      </c>
      <c r="F62" s="9" t="s">
        <v>3</v>
      </c>
      <c r="G62" s="9" t="s">
        <v>2</v>
      </c>
      <c r="H62" s="9" t="s">
        <v>7</v>
      </c>
      <c r="I62" s="9" t="s">
        <v>1</v>
      </c>
      <c r="J62" s="9" t="s">
        <v>0</v>
      </c>
    </row>
    <row r="63" spans="1:10" x14ac:dyDescent="0.2">
      <c r="B63" s="12" t="e">
        <f>IF(#REF!="S1fd",0.15,(IF(#REF!="H4",0.15,C59)))</f>
        <v>#REF!</v>
      </c>
      <c r="E63" s="8">
        <v>500</v>
      </c>
      <c r="F63" s="8">
        <v>5500</v>
      </c>
      <c r="G63" s="8">
        <v>3700</v>
      </c>
      <c r="H63" s="8">
        <v>2600</v>
      </c>
      <c r="I63" s="8">
        <v>2100</v>
      </c>
      <c r="J63" s="8">
        <v>1600</v>
      </c>
    </row>
    <row r="64" spans="1:10" x14ac:dyDescent="0.2">
      <c r="B64" s="12" t="e">
        <f>IF(#REF!="H3",0.2,C59)</f>
        <v>#REF!</v>
      </c>
      <c r="E64" s="8">
        <v>750</v>
      </c>
      <c r="F64" s="8">
        <v>7800</v>
      </c>
      <c r="G64" s="8">
        <v>5000</v>
      </c>
      <c r="H64" s="8">
        <v>3500</v>
      </c>
      <c r="I64" s="8">
        <v>2700</v>
      </c>
      <c r="J64" s="8">
        <v>2000</v>
      </c>
    </row>
    <row r="65" spans="2:10" x14ac:dyDescent="0.2">
      <c r="B65" s="12" t="e">
        <f>IF(#REF!="H1",0.25,(IF(#REF!="H2",0.25,(IF(#REF!="h5",0.25,C59)))))</f>
        <v>#REF!</v>
      </c>
      <c r="E65" s="8">
        <v>1000</v>
      </c>
      <c r="F65" s="8">
        <v>11100</v>
      </c>
      <c r="G65" s="8">
        <v>6800</v>
      </c>
      <c r="H65" s="8">
        <v>4700</v>
      </c>
      <c r="I65" s="8">
        <v>3500</v>
      </c>
      <c r="J65" s="8">
        <v>2400</v>
      </c>
    </row>
    <row r="66" spans="2:10" x14ac:dyDescent="0.2">
      <c r="E66" s="8">
        <v>1250</v>
      </c>
      <c r="F66" s="8">
        <v>15900</v>
      </c>
      <c r="G66" s="8">
        <v>9300</v>
      </c>
      <c r="H66" s="8">
        <v>6200</v>
      </c>
      <c r="I66" s="8">
        <v>4500</v>
      </c>
      <c r="J66" s="8">
        <v>2900</v>
      </c>
    </row>
    <row r="67" spans="2:10" x14ac:dyDescent="0.2">
      <c r="E67" s="8">
        <v>1500</v>
      </c>
      <c r="F67" s="8">
        <v>22750</v>
      </c>
      <c r="G67" s="8">
        <v>12700</v>
      </c>
      <c r="H67" s="8">
        <v>8200</v>
      </c>
      <c r="I67" s="8">
        <v>5900</v>
      </c>
      <c r="J67" s="8">
        <v>3600</v>
      </c>
    </row>
    <row r="68" spans="2:10" x14ac:dyDescent="0.2">
      <c r="E68" s="8">
        <v>1750</v>
      </c>
      <c r="F68" s="8">
        <v>30200</v>
      </c>
      <c r="G68" s="8">
        <v>17000</v>
      </c>
      <c r="H68" s="8">
        <v>10900</v>
      </c>
      <c r="I68" s="8">
        <v>7900</v>
      </c>
      <c r="J68" s="8">
        <v>4800</v>
      </c>
    </row>
    <row r="69" spans="2:10" x14ac:dyDescent="0.2">
      <c r="E69" s="8">
        <v>2000</v>
      </c>
      <c r="F69" s="8">
        <v>38700</v>
      </c>
      <c r="G69" s="8">
        <v>21800</v>
      </c>
      <c r="H69" s="8">
        <v>12900</v>
      </c>
      <c r="I69" s="8">
        <v>9800</v>
      </c>
      <c r="J69" s="8">
        <v>6200</v>
      </c>
    </row>
    <row r="70" spans="2:10" x14ac:dyDescent="0.2">
      <c r="B70" s="2" t="e">
        <f>SUM(B58:B69)</f>
        <v>#REF!</v>
      </c>
      <c r="E70" s="8">
        <v>2250</v>
      </c>
      <c r="F70" s="8">
        <v>48300</v>
      </c>
      <c r="G70" s="8">
        <v>24200</v>
      </c>
      <c r="H70" s="8">
        <v>17400</v>
      </c>
      <c r="I70" s="8">
        <v>12600</v>
      </c>
      <c r="J70" s="8">
        <v>7700</v>
      </c>
    </row>
    <row r="71" spans="2:10" x14ac:dyDescent="0.2">
      <c r="E71" s="8">
        <v>2500</v>
      </c>
      <c r="F71" s="8">
        <v>59000</v>
      </c>
      <c r="G71" s="8">
        <v>33200</v>
      </c>
      <c r="H71" s="8">
        <v>21300</v>
      </c>
      <c r="I71" s="8">
        <v>15400</v>
      </c>
      <c r="J71" s="8">
        <v>9400</v>
      </c>
    </row>
    <row r="72" spans="2:10" x14ac:dyDescent="0.2">
      <c r="E72" s="8">
        <v>2750</v>
      </c>
      <c r="F72" s="8">
        <v>70900</v>
      </c>
      <c r="G72" s="8">
        <v>39700</v>
      </c>
      <c r="H72" s="8">
        <v>25500</v>
      </c>
      <c r="I72" s="8">
        <v>18400</v>
      </c>
      <c r="J72" s="8">
        <v>11300</v>
      </c>
    </row>
    <row r="73" spans="2:10" x14ac:dyDescent="0.2">
      <c r="E73" s="8">
        <v>3000</v>
      </c>
      <c r="F73" s="8">
        <v>83700</v>
      </c>
      <c r="G73" s="8">
        <v>47100</v>
      </c>
      <c r="H73" s="8">
        <v>31100</v>
      </c>
      <c r="I73" s="8">
        <v>21800</v>
      </c>
      <c r="J73" s="8">
        <v>13400</v>
      </c>
    </row>
    <row r="74" spans="2:10" x14ac:dyDescent="0.2">
      <c r="E74" s="8">
        <v>3250</v>
      </c>
      <c r="F74" s="8">
        <v>97700</v>
      </c>
      <c r="G74" s="8">
        <v>54900</v>
      </c>
      <c r="H74" s="8">
        <v>35200</v>
      </c>
      <c r="I74" s="8">
        <v>25900</v>
      </c>
      <c r="J74" s="8">
        <v>15600</v>
      </c>
    </row>
    <row r="75" spans="2:10" x14ac:dyDescent="0.2">
      <c r="E75" s="8">
        <v>3500</v>
      </c>
      <c r="F75" s="8">
        <v>112700</v>
      </c>
      <c r="G75" s="8">
        <v>63400</v>
      </c>
      <c r="H75" s="8">
        <v>40600</v>
      </c>
      <c r="I75" s="8">
        <v>29300</v>
      </c>
      <c r="J75" s="8">
        <v>18000</v>
      </c>
    </row>
    <row r="76" spans="2:10" x14ac:dyDescent="0.2">
      <c r="E76" s="8">
        <v>3750</v>
      </c>
      <c r="F76" s="8">
        <v>128700</v>
      </c>
      <c r="G76" s="8">
        <v>72400</v>
      </c>
      <c r="H76" s="8">
        <v>46400</v>
      </c>
      <c r="I76" s="8">
        <v>33500</v>
      </c>
      <c r="J76" s="8">
        <v>20600</v>
      </c>
    </row>
    <row r="77" spans="2:10" x14ac:dyDescent="0.2">
      <c r="E77" s="8">
        <v>4000</v>
      </c>
      <c r="F77" s="8">
        <v>145900</v>
      </c>
      <c r="G77" s="8">
        <v>82100</v>
      </c>
      <c r="H77" s="8">
        <v>52500</v>
      </c>
      <c r="I77" s="8">
        <v>37900</v>
      </c>
      <c r="J77" s="8">
        <v>26300</v>
      </c>
    </row>
    <row r="78" spans="2:10" x14ac:dyDescent="0.2">
      <c r="E78" s="8">
        <v>4250</v>
      </c>
      <c r="F78" s="8">
        <v>164200</v>
      </c>
      <c r="G78" s="8">
        <v>92400</v>
      </c>
      <c r="H78" s="8">
        <v>59100</v>
      </c>
      <c r="I78" s="8">
        <v>42700</v>
      </c>
      <c r="J78" s="8">
        <v>29300</v>
      </c>
    </row>
    <row r="79" spans="2:10" x14ac:dyDescent="0.2">
      <c r="E79" s="8">
        <v>4500</v>
      </c>
      <c r="F79" s="8">
        <v>183400</v>
      </c>
      <c r="G79" s="8">
        <v>103100</v>
      </c>
      <c r="H79" s="8">
        <v>66000</v>
      </c>
      <c r="I79" s="8">
        <v>47700</v>
      </c>
      <c r="J79" s="8">
        <v>32600</v>
      </c>
    </row>
    <row r="80" spans="2:10" x14ac:dyDescent="0.2">
      <c r="E80" s="8">
        <v>4700</v>
      </c>
      <c r="F80" s="8">
        <v>203700</v>
      </c>
      <c r="G80" s="8">
        <v>114600</v>
      </c>
      <c r="H80" s="8">
        <v>73300</v>
      </c>
      <c r="I80" s="8">
        <v>53000</v>
      </c>
      <c r="J80" s="8"/>
    </row>
    <row r="81" spans="5:10" x14ac:dyDescent="0.2">
      <c r="E81" s="8">
        <v>5000</v>
      </c>
      <c r="F81" s="8">
        <v>225200</v>
      </c>
      <c r="G81" s="8">
        <v>126700</v>
      </c>
      <c r="H81" s="8">
        <v>81100</v>
      </c>
      <c r="I81" s="8">
        <v>58600</v>
      </c>
      <c r="J81" s="8"/>
    </row>
    <row r="82" spans="5:10" x14ac:dyDescent="0.2">
      <c r="E82" s="8">
        <v>5250</v>
      </c>
      <c r="F82" s="8">
        <v>247700</v>
      </c>
      <c r="G82" s="8">
        <v>139400</v>
      </c>
      <c r="H82" s="8">
        <v>89200</v>
      </c>
      <c r="I82" s="8">
        <v>65400</v>
      </c>
      <c r="J82" s="8"/>
    </row>
    <row r="83" spans="5:10" x14ac:dyDescent="0.2">
      <c r="E83" s="8">
        <v>5500</v>
      </c>
      <c r="F83" s="8">
        <v>271200</v>
      </c>
      <c r="G83" s="8">
        <v>152600</v>
      </c>
      <c r="H83" s="8">
        <v>97700</v>
      </c>
      <c r="I83" s="8">
        <v>70600</v>
      </c>
      <c r="J83" s="8"/>
    </row>
    <row r="84" spans="5:10" x14ac:dyDescent="0.2">
      <c r="E84" s="8">
        <v>5750</v>
      </c>
      <c r="F84" s="8">
        <v>295900</v>
      </c>
      <c r="G84" s="8">
        <v>166500</v>
      </c>
      <c r="H84" s="8">
        <v>106500</v>
      </c>
      <c r="I84" s="8">
        <v>77000</v>
      </c>
      <c r="J84" s="8"/>
    </row>
    <row r="85" spans="5:10" x14ac:dyDescent="0.2">
      <c r="E85" s="8">
        <v>6000</v>
      </c>
      <c r="F85" s="8" t="s">
        <v>9</v>
      </c>
      <c r="G85" s="8" t="s">
        <v>9</v>
      </c>
      <c r="H85" s="8">
        <v>115800</v>
      </c>
      <c r="I85" s="8">
        <v>89700</v>
      </c>
      <c r="J85" s="8"/>
    </row>
    <row r="86" spans="5:10" x14ac:dyDescent="0.2">
      <c r="E86" s="8">
        <v>6200</v>
      </c>
      <c r="F86" s="8" t="s">
        <v>9</v>
      </c>
      <c r="G86" s="8" t="s">
        <v>9</v>
      </c>
      <c r="H86" s="8">
        <v>125500</v>
      </c>
      <c r="I86" s="8">
        <v>90600</v>
      </c>
      <c r="J86" s="8"/>
    </row>
    <row r="87" spans="5:10" x14ac:dyDescent="0.2">
      <c r="E87" s="8">
        <v>6500</v>
      </c>
      <c r="F87" s="8" t="s">
        <v>9</v>
      </c>
      <c r="G87" s="8" t="s">
        <v>9</v>
      </c>
      <c r="H87" s="8">
        <v>135500</v>
      </c>
      <c r="I87" s="8">
        <v>97900</v>
      </c>
      <c r="J87" s="8"/>
    </row>
    <row r="88" spans="5:10" x14ac:dyDescent="0.2">
      <c r="E88" s="8">
        <v>6750</v>
      </c>
      <c r="F88" s="8" t="s">
        <v>9</v>
      </c>
      <c r="G88" s="8" t="s">
        <v>9</v>
      </c>
      <c r="H88" s="8">
        <v>145800</v>
      </c>
      <c r="I88" s="8">
        <v>106800</v>
      </c>
      <c r="J88" s="8"/>
    </row>
    <row r="89" spans="5:10" x14ac:dyDescent="0.2">
      <c r="E89" s="8">
        <v>7000</v>
      </c>
      <c r="F89" s="8" t="s">
        <v>9</v>
      </c>
      <c r="G89" s="8" t="s">
        <v>9</v>
      </c>
      <c r="H89" s="8">
        <v>156700</v>
      </c>
      <c r="I89" s="8">
        <v>113200</v>
      </c>
      <c r="J89" s="8"/>
    </row>
    <row r="90" spans="5:10" x14ac:dyDescent="0.2">
      <c r="E90" s="8">
        <v>7250</v>
      </c>
      <c r="F90" s="8" t="s">
        <v>9</v>
      </c>
      <c r="G90" s="8" t="s">
        <v>9</v>
      </c>
      <c r="H90" s="8">
        <v>167900</v>
      </c>
      <c r="I90" s="8">
        <v>121300</v>
      </c>
      <c r="J90" s="8"/>
    </row>
    <row r="91" spans="5:10" x14ac:dyDescent="0.2">
      <c r="E91" s="8">
        <v>7500</v>
      </c>
      <c r="F91" s="8" t="s">
        <v>9</v>
      </c>
      <c r="G91" s="8" t="s">
        <v>9</v>
      </c>
      <c r="H91" s="8">
        <v>179400</v>
      </c>
      <c r="I91" s="8">
        <v>129600</v>
      </c>
      <c r="J91" s="8"/>
    </row>
    <row r="92" spans="5:10" x14ac:dyDescent="0.2">
      <c r="E92" s="8">
        <v>7750</v>
      </c>
      <c r="F92" s="8" t="s">
        <v>9</v>
      </c>
      <c r="G92" s="8" t="s">
        <v>9</v>
      </c>
      <c r="H92" s="8">
        <v>191400</v>
      </c>
      <c r="I92" s="8">
        <v>138300</v>
      </c>
      <c r="J92" s="8"/>
    </row>
    <row r="93" spans="5:10" x14ac:dyDescent="0.2">
      <c r="E93" s="8">
        <v>8000</v>
      </c>
      <c r="F93" s="8" t="s">
        <v>9</v>
      </c>
      <c r="G93" s="8" t="s">
        <v>9</v>
      </c>
      <c r="H93" s="8" t="s">
        <v>9</v>
      </c>
      <c r="I93" s="8" t="s">
        <v>9</v>
      </c>
      <c r="J93" s="8" t="s">
        <v>9</v>
      </c>
    </row>
    <row r="101" spans="10:10" x14ac:dyDescent="0.2">
      <c r="J101" t="e">
        <f>IF(#REF!="R1",0.25,(IF(#REF!="R2",0.5,(IF(#REF!="S1",0.75,(IF(#REF!="I1",0.85,(IF(#REF!="I2",0.95,(IF(#REF!="S2",0.35,J102)))))))))))</f>
        <v>#REF!</v>
      </c>
    </row>
    <row r="141" spans="6:6" x14ac:dyDescent="0.2">
      <c r="F141" t="s">
        <v>50</v>
      </c>
    </row>
    <row r="142" spans="6:6" x14ac:dyDescent="0.2">
      <c r="F142" t="s">
        <v>49</v>
      </c>
    </row>
    <row r="144" spans="6:6" x14ac:dyDescent="0.2">
      <c r="F144" s="6"/>
    </row>
    <row r="149" spans="2:8" ht="25.5" x14ac:dyDescent="0.2">
      <c r="B149" s="2" t="s">
        <v>18</v>
      </c>
    </row>
    <row r="150" spans="2:8" x14ac:dyDescent="0.2">
      <c r="B150" s="2" t="s">
        <v>19</v>
      </c>
      <c r="F150" t="s">
        <v>44</v>
      </c>
      <c r="G150" s="6"/>
      <c r="H150" s="6"/>
    </row>
    <row r="151" spans="2:8" x14ac:dyDescent="0.2">
      <c r="B151" s="2" t="s">
        <v>20</v>
      </c>
      <c r="F151" t="s">
        <v>45</v>
      </c>
    </row>
    <row r="152" spans="2:8" x14ac:dyDescent="0.2">
      <c r="B152" s="2" t="s">
        <v>21</v>
      </c>
    </row>
    <row r="153" spans="2:8" x14ac:dyDescent="0.2">
      <c r="B153" s="2" t="s">
        <v>22</v>
      </c>
    </row>
    <row r="154" spans="2:8" x14ac:dyDescent="0.2">
      <c r="B154" s="2" t="s">
        <v>23</v>
      </c>
    </row>
    <row r="155" spans="2:8" x14ac:dyDescent="0.2">
      <c r="B155" s="2" t="s">
        <v>5</v>
      </c>
    </row>
    <row r="156" spans="2:8" x14ac:dyDescent="0.2">
      <c r="B156" s="2" t="s">
        <v>24</v>
      </c>
    </row>
    <row r="157" spans="2:8" x14ac:dyDescent="0.2">
      <c r="B157" s="2" t="s">
        <v>25</v>
      </c>
    </row>
    <row r="158" spans="2:8" x14ac:dyDescent="0.2">
      <c r="B158" s="2" t="s">
        <v>26</v>
      </c>
    </row>
    <row r="159" spans="2:8" x14ac:dyDescent="0.2">
      <c r="B159" s="2" t="s">
        <v>27</v>
      </c>
    </row>
    <row r="160" spans="2:8" x14ac:dyDescent="0.2">
      <c r="B160" s="2" t="s">
        <v>28</v>
      </c>
    </row>
    <row r="161" spans="2:2" x14ac:dyDescent="0.2">
      <c r="B161" s="2" t="s">
        <v>29</v>
      </c>
    </row>
    <row r="162" spans="2:2" x14ac:dyDescent="0.2">
      <c r="B162" s="2" t="s">
        <v>30</v>
      </c>
    </row>
    <row r="163" spans="2:2" x14ac:dyDescent="0.2">
      <c r="B163" s="2" t="s">
        <v>31</v>
      </c>
    </row>
    <row r="164" spans="2:2" x14ac:dyDescent="0.2">
      <c r="B164" s="2" t="s">
        <v>32</v>
      </c>
    </row>
    <row r="165" spans="2:2" x14ac:dyDescent="0.2">
      <c r="B165" s="2" t="s">
        <v>33</v>
      </c>
    </row>
    <row r="166" spans="2:2" x14ac:dyDescent="0.2">
      <c r="B166" s="2" t="s">
        <v>34</v>
      </c>
    </row>
    <row r="167" spans="2:2" x14ac:dyDescent="0.2">
      <c r="B167" s="2" t="s">
        <v>35</v>
      </c>
    </row>
    <row r="168" spans="2:2" x14ac:dyDescent="0.2">
      <c r="B168" s="2" t="s">
        <v>36</v>
      </c>
    </row>
    <row r="169" spans="2:2" x14ac:dyDescent="0.2">
      <c r="B169" s="2" t="s">
        <v>37</v>
      </c>
    </row>
    <row r="170" spans="2:2" x14ac:dyDescent="0.2">
      <c r="B170" s="2" t="s">
        <v>38</v>
      </c>
    </row>
    <row r="171" spans="2:2" x14ac:dyDescent="0.2">
      <c r="B171" s="2" t="s">
        <v>39</v>
      </c>
    </row>
    <row r="172" spans="2:2" x14ac:dyDescent="0.2">
      <c r="B172" s="2" t="s">
        <v>40</v>
      </c>
    </row>
    <row r="173" spans="2:2" x14ac:dyDescent="0.2">
      <c r="B173" s="2" t="s">
        <v>41</v>
      </c>
    </row>
    <row r="174" spans="2:2" x14ac:dyDescent="0.2">
      <c r="B174" s="2" t="s">
        <v>42</v>
      </c>
    </row>
  </sheetData>
  <customSheetViews>
    <customSheetView guid="{4770F18A-B840-4B20-A42E-C86FB8C2CAA9}" hiddenRows="1" hiddenColumns="1" topLeftCell="A14">
      <selection activeCell="A11" sqref="A11"/>
      <pageMargins left="0.75" right="0.75" top="1" bottom="1" header="0.5" footer="0.5"/>
      <pageSetup orientation="portrait" r:id="rId1"/>
      <headerFooter alignWithMargins="0"/>
    </customSheetView>
    <customSheetView guid="{BB9B1433-7306-4F1F-BC99-E205D3AD018F}" hiddenRows="1" showRuler="0">
      <pageMargins left="0.75" right="0.75" top="1" bottom="1" header="0.5" footer="0.5"/>
      <pageSetup orientation="portrait" r:id="rId2"/>
      <headerFooter alignWithMargins="0"/>
    </customSheetView>
  </customSheetViews>
  <phoneticPr fontId="1" type="noConversion"/>
  <dataValidations count="2">
    <dataValidation type="list" errorStyle="information" showInputMessage="1" showErrorMessage="1" errorTitle="INformation is required" error="Click the arrow and select yes or no" promptTitle="yes or no" prompt="pick from the drop down box" sqref="B3:B19 B23:B24" xr:uid="{00000000-0002-0000-0300-000000000000}">
      <formula1>$F$141:$F$142</formula1>
    </dataValidation>
    <dataValidation type="list" allowBlank="1" showInputMessage="1" showErrorMessage="1" sqref="D6" xr:uid="{00000000-0002-0000-0300-000001000000}">
      <formula1>$F$150:$F$151</formula1>
    </dataValidation>
  </dataValidations>
  <pageMargins left="0.75" right="0.75" top="1" bottom="1" header="0.5" footer="0.5"/>
  <pageSetup orientation="portrait" r:id="rId3"/>
  <headerFooter alignWithMargins="0"/>
  <ignoredErrors>
    <ignoredError sqref="E25" emptyCellReference="1"/>
  </ignoredError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H69"/>
  <sheetViews>
    <sheetView topLeftCell="A49" workbookViewId="0">
      <selection activeCell="A68" sqref="A68"/>
    </sheetView>
  </sheetViews>
  <sheetFormatPr defaultRowHeight="12.75" x14ac:dyDescent="0.2"/>
  <cols>
    <col min="2" max="2" width="10.140625" customWidth="1"/>
  </cols>
  <sheetData>
    <row r="1" spans="1:8" x14ac:dyDescent="0.2">
      <c r="A1" t="s">
        <v>101</v>
      </c>
      <c r="E1" s="32" t="s">
        <v>119</v>
      </c>
      <c r="H1" s="33" t="s">
        <v>124</v>
      </c>
    </row>
    <row r="3" spans="1:8" x14ac:dyDescent="0.2">
      <c r="A3" s="32" t="s">
        <v>197</v>
      </c>
    </row>
    <row r="4" spans="1:8" x14ac:dyDescent="0.2">
      <c r="A4" s="32"/>
    </row>
    <row r="5" spans="1:8" x14ac:dyDescent="0.2">
      <c r="A5" s="33" t="s">
        <v>184</v>
      </c>
      <c r="H5" t="s">
        <v>146</v>
      </c>
    </row>
    <row r="7" spans="1:8" x14ac:dyDescent="0.2">
      <c r="A7" t="s">
        <v>102</v>
      </c>
    </row>
    <row r="9" spans="1:8" x14ac:dyDescent="0.2">
      <c r="A9" t="s">
        <v>120</v>
      </c>
    </row>
    <row r="11" spans="1:8" x14ac:dyDescent="0.2">
      <c r="A11" s="5" t="s">
        <v>103</v>
      </c>
      <c r="B11" s="33" t="s">
        <v>185</v>
      </c>
    </row>
    <row r="12" spans="1:8" x14ac:dyDescent="0.2">
      <c r="B12" s="57" t="s">
        <v>198</v>
      </c>
    </row>
    <row r="13" spans="1:8" x14ac:dyDescent="0.2">
      <c r="B13" t="s">
        <v>104</v>
      </c>
    </row>
    <row r="14" spans="1:8" x14ac:dyDescent="0.2">
      <c r="C14" t="s">
        <v>105</v>
      </c>
    </row>
    <row r="15" spans="1:8" x14ac:dyDescent="0.2">
      <c r="C15" t="s">
        <v>106</v>
      </c>
    </row>
    <row r="17" spans="1:3" x14ac:dyDescent="0.2">
      <c r="A17" s="5" t="s">
        <v>107</v>
      </c>
      <c r="B17" s="33" t="s">
        <v>185</v>
      </c>
    </row>
    <row r="18" spans="1:3" x14ac:dyDescent="0.2">
      <c r="B18" t="s">
        <v>121</v>
      </c>
    </row>
    <row r="19" spans="1:3" x14ac:dyDescent="0.2">
      <c r="B19" t="s">
        <v>122</v>
      </c>
    </row>
    <row r="20" spans="1:3" x14ac:dyDescent="0.2">
      <c r="B20" s="57" t="s">
        <v>186</v>
      </c>
    </row>
    <row r="21" spans="1:3" x14ac:dyDescent="0.2">
      <c r="A21" s="5" t="s">
        <v>108</v>
      </c>
      <c r="B21" s="33" t="s">
        <v>185</v>
      </c>
    </row>
    <row r="22" spans="1:3" x14ac:dyDescent="0.2">
      <c r="B22" t="s">
        <v>199</v>
      </c>
    </row>
    <row r="24" spans="1:3" x14ac:dyDescent="0.2">
      <c r="B24" t="s">
        <v>113</v>
      </c>
    </row>
    <row r="25" spans="1:3" x14ac:dyDescent="0.2">
      <c r="C25" t="s">
        <v>109</v>
      </c>
    </row>
    <row r="26" spans="1:3" x14ac:dyDescent="0.2">
      <c r="C26" t="s">
        <v>200</v>
      </c>
    </row>
    <row r="27" spans="1:3" x14ac:dyDescent="0.2">
      <c r="C27" t="s">
        <v>110</v>
      </c>
    </row>
    <row r="28" spans="1:3" x14ac:dyDescent="0.2">
      <c r="C28" t="s">
        <v>123</v>
      </c>
    </row>
    <row r="29" spans="1:3" x14ac:dyDescent="0.2">
      <c r="C29" t="s">
        <v>111</v>
      </c>
    </row>
    <row r="30" spans="1:3" x14ac:dyDescent="0.2">
      <c r="C30" t="s">
        <v>112</v>
      </c>
    </row>
    <row r="35" spans="1:5" x14ac:dyDescent="0.2">
      <c r="A35" s="5" t="s">
        <v>114</v>
      </c>
      <c r="B35" s="33" t="s">
        <v>185</v>
      </c>
    </row>
    <row r="36" spans="1:5" x14ac:dyDescent="0.2">
      <c r="B36" t="s">
        <v>201</v>
      </c>
    </row>
    <row r="39" spans="1:5" x14ac:dyDescent="0.2">
      <c r="A39" s="5" t="s">
        <v>115</v>
      </c>
      <c r="B39" s="33" t="s">
        <v>116</v>
      </c>
    </row>
    <row r="40" spans="1:5" x14ac:dyDescent="0.2">
      <c r="B40" s="32" t="s">
        <v>117</v>
      </c>
    </row>
    <row r="43" spans="1:5" x14ac:dyDescent="0.2">
      <c r="A43" s="5" t="s">
        <v>118</v>
      </c>
      <c r="B43" s="33" t="s">
        <v>125</v>
      </c>
    </row>
    <row r="44" spans="1:5" x14ac:dyDescent="0.2">
      <c r="A44" t="s">
        <v>126</v>
      </c>
      <c r="B44" s="32" t="s">
        <v>127</v>
      </c>
      <c r="C44" t="s">
        <v>128</v>
      </c>
    </row>
    <row r="45" spans="1:5" x14ac:dyDescent="0.2">
      <c r="B45" s="33" t="s">
        <v>185</v>
      </c>
    </row>
    <row r="46" spans="1:5" x14ac:dyDescent="0.2">
      <c r="B46" s="5" t="s">
        <v>144</v>
      </c>
    </row>
    <row r="47" spans="1:5" x14ac:dyDescent="0.2">
      <c r="A47" t="s">
        <v>129</v>
      </c>
      <c r="B47" s="32" t="s">
        <v>130</v>
      </c>
      <c r="C47" t="s">
        <v>131</v>
      </c>
    </row>
    <row r="48" spans="1:5" x14ac:dyDescent="0.2">
      <c r="A48" t="s">
        <v>132</v>
      </c>
      <c r="B48" s="32" t="s">
        <v>133</v>
      </c>
      <c r="E48" t="s">
        <v>135</v>
      </c>
    </row>
    <row r="49" spans="1:2" x14ac:dyDescent="0.2">
      <c r="B49" s="32" t="s">
        <v>134</v>
      </c>
    </row>
    <row r="51" spans="1:2" x14ac:dyDescent="0.2">
      <c r="A51" s="5" t="s">
        <v>136</v>
      </c>
      <c r="B51" s="33" t="s">
        <v>185</v>
      </c>
    </row>
    <row r="52" spans="1:2" x14ac:dyDescent="0.2">
      <c r="B52" t="s">
        <v>121</v>
      </c>
    </row>
    <row r="53" spans="1:2" x14ac:dyDescent="0.2">
      <c r="B53" t="s">
        <v>122</v>
      </c>
    </row>
    <row r="54" spans="1:2" x14ac:dyDescent="0.2">
      <c r="B54" t="s">
        <v>137</v>
      </c>
    </row>
    <row r="55" spans="1:2" x14ac:dyDescent="0.2">
      <c r="B55" t="s">
        <v>138</v>
      </c>
    </row>
    <row r="57" spans="1:2" x14ac:dyDescent="0.2">
      <c r="A57" s="5" t="s">
        <v>141</v>
      </c>
      <c r="B57" s="33" t="s">
        <v>185</v>
      </c>
    </row>
    <row r="58" spans="1:2" x14ac:dyDescent="0.2">
      <c r="B58" t="s">
        <v>139</v>
      </c>
    </row>
    <row r="59" spans="1:2" x14ac:dyDescent="0.2">
      <c r="B59" s="32" t="s">
        <v>140</v>
      </c>
    </row>
    <row r="60" spans="1:2" x14ac:dyDescent="0.2">
      <c r="A60" t="s">
        <v>142</v>
      </c>
      <c r="B60" s="33" t="s">
        <v>185</v>
      </c>
    </row>
    <row r="61" spans="1:2" x14ac:dyDescent="0.2">
      <c r="B61" t="s">
        <v>139</v>
      </c>
    </row>
    <row r="62" spans="1:2" x14ac:dyDescent="0.2">
      <c r="B62" s="33" t="s">
        <v>143</v>
      </c>
    </row>
    <row r="63" spans="1:2" x14ac:dyDescent="0.2">
      <c r="B63" s="5" t="s">
        <v>188</v>
      </c>
    </row>
    <row r="64" spans="1:2" x14ac:dyDescent="0.2">
      <c r="A64" s="57" t="s">
        <v>189</v>
      </c>
      <c r="B64" s="5" t="s">
        <v>190</v>
      </c>
    </row>
    <row r="66" spans="1:2" x14ac:dyDescent="0.2">
      <c r="A66" t="s">
        <v>145</v>
      </c>
      <c r="B66" s="5" t="s">
        <v>188</v>
      </c>
    </row>
    <row r="68" spans="1:2" x14ac:dyDescent="0.2">
      <c r="A68" t="s">
        <v>202</v>
      </c>
    </row>
    <row r="69" spans="1:2" x14ac:dyDescent="0.2">
      <c r="A69" s="57" t="s">
        <v>187</v>
      </c>
      <c r="B69" s="57"/>
    </row>
  </sheetData>
  <customSheetViews>
    <customSheetView guid="{4770F18A-B840-4B20-A42E-C86FB8C2CAA9}" topLeftCell="A49">
      <selection activeCell="A68" sqref="A68"/>
      <pageMargins left="0.75" right="0.75" top="1" bottom="1" header="0.5" footer="0.5"/>
      <pageSetup orientation="portrait" r:id="rId1"/>
      <headerFooter alignWithMargins="0"/>
    </customSheetView>
  </customSheetViews>
  <phoneticPr fontId="1" type="noConversion"/>
  <pageMargins left="0.75" right="0.75" top="1" bottom="1" header="0.5" footer="0.5"/>
  <pageSetup orientation="portrait" r:id="rId2"/>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3:I23"/>
  <sheetViews>
    <sheetView topLeftCell="B1" workbookViewId="0">
      <selection activeCell="F15" sqref="F15"/>
    </sheetView>
  </sheetViews>
  <sheetFormatPr defaultRowHeight="12.75" x14ac:dyDescent="0.2"/>
  <cols>
    <col min="2" max="2" width="17.85546875" customWidth="1"/>
    <col min="3" max="3" width="43.28515625" customWidth="1"/>
    <col min="4" max="4" width="18.7109375" customWidth="1"/>
    <col min="9" max="9" width="21.140625" customWidth="1"/>
    <col min="10" max="10" width="16.140625" customWidth="1"/>
    <col min="12" max="12" width="23.85546875" customWidth="1"/>
  </cols>
  <sheetData>
    <row r="3" spans="1:9" ht="54" customHeight="1" x14ac:dyDescent="0.2">
      <c r="A3" t="s">
        <v>80</v>
      </c>
      <c r="C3" s="31" t="s">
        <v>90</v>
      </c>
      <c r="D3" s="31" t="s">
        <v>91</v>
      </c>
    </row>
    <row r="5" spans="1:9" x14ac:dyDescent="0.2">
      <c r="B5" t="s">
        <v>87</v>
      </c>
      <c r="C5" s="30">
        <v>2000</v>
      </c>
      <c r="D5" t="s">
        <v>81</v>
      </c>
      <c r="E5" s="30">
        <v>6200</v>
      </c>
    </row>
    <row r="6" spans="1:9" x14ac:dyDescent="0.2">
      <c r="B6" t="s">
        <v>88</v>
      </c>
      <c r="C6" s="30">
        <v>1750</v>
      </c>
      <c r="D6" t="s">
        <v>82</v>
      </c>
      <c r="E6" s="30">
        <v>4800</v>
      </c>
    </row>
    <row r="7" spans="1:9" x14ac:dyDescent="0.2">
      <c r="I7" t="s">
        <v>98</v>
      </c>
    </row>
    <row r="8" spans="1:9" x14ac:dyDescent="0.2">
      <c r="C8" t="s">
        <v>93</v>
      </c>
      <c r="D8">
        <v>5600</v>
      </c>
      <c r="I8" t="s">
        <v>99</v>
      </c>
    </row>
    <row r="12" spans="1:9" x14ac:dyDescent="0.2">
      <c r="C12">
        <f>+C5</f>
        <v>2000</v>
      </c>
      <c r="D12">
        <f>+E5</f>
        <v>6200</v>
      </c>
    </row>
    <row r="13" spans="1:9" x14ac:dyDescent="0.2">
      <c r="C13">
        <f>+C6</f>
        <v>1750</v>
      </c>
      <c r="D13">
        <f>+E6</f>
        <v>4800</v>
      </c>
    </row>
    <row r="14" spans="1:9" x14ac:dyDescent="0.2">
      <c r="C14" t="s">
        <v>84</v>
      </c>
      <c r="D14" t="s">
        <v>83</v>
      </c>
      <c r="F14" t="s">
        <v>94</v>
      </c>
    </row>
    <row r="15" spans="1:9" x14ac:dyDescent="0.2">
      <c r="C15">
        <f>+C12-C13</f>
        <v>250</v>
      </c>
      <c r="D15">
        <f>+D12-D13</f>
        <v>1400</v>
      </c>
      <c r="F15" s="34">
        <f>+C15/D15</f>
        <v>0.17857142857142858</v>
      </c>
      <c r="I15">
        <v>5600</v>
      </c>
    </row>
    <row r="16" spans="1:9" x14ac:dyDescent="0.2">
      <c r="C16" t="s">
        <v>89</v>
      </c>
      <c r="I16">
        <f>+(-D13)</f>
        <v>-4800</v>
      </c>
    </row>
    <row r="17" spans="2:9" x14ac:dyDescent="0.2">
      <c r="B17" s="5"/>
      <c r="C17" s="11">
        <v>0.2</v>
      </c>
      <c r="I17">
        <f>SUM(I15:I16)</f>
        <v>800</v>
      </c>
    </row>
    <row r="18" spans="2:9" x14ac:dyDescent="0.2">
      <c r="C18" t="s">
        <v>85</v>
      </c>
      <c r="D18" t="s">
        <v>86</v>
      </c>
      <c r="F18" t="s">
        <v>96</v>
      </c>
      <c r="I18">
        <f>+I17*F15</f>
        <v>142.85714285714286</v>
      </c>
    </row>
    <row r="19" spans="2:9" x14ac:dyDescent="0.2">
      <c r="I19">
        <f>+C21+I18</f>
        <v>1892.8571428571429</v>
      </c>
    </row>
    <row r="20" spans="2:9" x14ac:dyDescent="0.2">
      <c r="C20" t="s">
        <v>95</v>
      </c>
      <c r="D20" t="s">
        <v>97</v>
      </c>
    </row>
    <row r="21" spans="2:9" x14ac:dyDescent="0.2">
      <c r="C21">
        <v>1750</v>
      </c>
      <c r="D21">
        <f>+C21*F15</f>
        <v>312.5</v>
      </c>
      <c r="F21">
        <f>+C21+D21</f>
        <v>2062.5</v>
      </c>
      <c r="G21">
        <f>+F21/2</f>
        <v>1031.25</v>
      </c>
    </row>
    <row r="22" spans="2:9" x14ac:dyDescent="0.2">
      <c r="I22">
        <f>-0.2*I19</f>
        <v>-378.57142857142861</v>
      </c>
    </row>
    <row r="23" spans="2:9" x14ac:dyDescent="0.2">
      <c r="F23">
        <f>+D8-D13</f>
        <v>800</v>
      </c>
      <c r="I23">
        <f>SUM(I19:I22)</f>
        <v>1514.2857142857142</v>
      </c>
    </row>
  </sheetData>
  <customSheetViews>
    <customSheetView guid="{4770F18A-B840-4B20-A42E-C86FB8C2CAA9}" state="hidden" topLeftCell="B1">
      <selection activeCell="F15" sqref="F15"/>
      <pageMargins left="0.75" right="0.75" top="1" bottom="1" header="0.5" footer="0.5"/>
      <pageSetup orientation="portrait" r:id="rId1"/>
      <headerFooter alignWithMargins="0"/>
    </customSheetView>
  </customSheetViews>
  <phoneticPr fontId="1" type="noConversion"/>
  <pageMargins left="0.75" right="0.75" top="1" bottom="1" header="0.5" footer="0.5"/>
  <pageSetup orientation="portrait" r:id="rId2"/>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B4:H30"/>
  <sheetViews>
    <sheetView workbookViewId="0">
      <selection activeCell="C4" sqref="C4"/>
    </sheetView>
  </sheetViews>
  <sheetFormatPr defaultRowHeight="12.75" x14ac:dyDescent="0.2"/>
  <cols>
    <col min="6" max="6" width="13.7109375" customWidth="1"/>
    <col min="10" max="10" width="12.140625" customWidth="1"/>
    <col min="12" max="12" width="12.7109375" customWidth="1"/>
  </cols>
  <sheetData>
    <row r="4" spans="3:8" x14ac:dyDescent="0.2">
      <c r="C4" s="35" t="s">
        <v>171</v>
      </c>
    </row>
    <row r="7" spans="3:8" x14ac:dyDescent="0.2">
      <c r="C7" s="35" t="s">
        <v>169</v>
      </c>
    </row>
    <row r="8" spans="3:8" x14ac:dyDescent="0.2">
      <c r="C8" s="35" t="s">
        <v>170</v>
      </c>
    </row>
    <row r="10" spans="3:8" x14ac:dyDescent="0.2">
      <c r="C10">
        <v>1750</v>
      </c>
      <c r="E10">
        <v>150</v>
      </c>
      <c r="F10">
        <f>C10-E10</f>
        <v>1600</v>
      </c>
      <c r="G10">
        <f>F10*C11</f>
        <v>12640000</v>
      </c>
      <c r="H10">
        <f>G10/C10</f>
        <v>7222.8571428571431</v>
      </c>
    </row>
    <row r="11" spans="3:8" x14ac:dyDescent="0.2">
      <c r="C11">
        <v>7900</v>
      </c>
    </row>
    <row r="23" spans="2:8" x14ac:dyDescent="0.2">
      <c r="B23" s="35"/>
      <c r="D23" s="35"/>
      <c r="E23" s="35"/>
      <c r="G23" s="35"/>
    </row>
    <row r="24" spans="2:8" x14ac:dyDescent="0.2">
      <c r="B24" s="35"/>
    </row>
    <row r="26" spans="2:8" x14ac:dyDescent="0.2">
      <c r="G26" s="35" t="s">
        <v>167</v>
      </c>
    </row>
    <row r="27" spans="2:8" x14ac:dyDescent="0.2">
      <c r="G27" s="35" t="s">
        <v>168</v>
      </c>
    </row>
    <row r="28" spans="2:8" x14ac:dyDescent="0.2">
      <c r="G28">
        <f>1350*5900</f>
        <v>7965000</v>
      </c>
    </row>
    <row r="29" spans="2:8" x14ac:dyDescent="0.2">
      <c r="G29">
        <f>G28/1500</f>
        <v>5310</v>
      </c>
    </row>
    <row r="30" spans="2:8" x14ac:dyDescent="0.2">
      <c r="H30" s="35"/>
    </row>
  </sheetData>
  <customSheetViews>
    <customSheetView guid="{4770F18A-B840-4B20-A42E-C86FB8C2CAA9}" state="hidden">
      <selection activeCell="C4" sqref="C4"/>
      <pageMargins left="0.7" right="0.7" top="0.75" bottom="0.75" header="0.3" footer="0.3"/>
      <pageSetup orientation="portrait" r:id="rId1"/>
    </customSheetView>
  </customSheetViews>
  <pageMargins left="0.7" right="0.7" top="0.75" bottom="0.75" header="0.3" footer="0.3"/>
  <pageSetup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B6:M21"/>
  <sheetViews>
    <sheetView workbookViewId="0">
      <selection activeCell="J28" sqref="J28"/>
    </sheetView>
  </sheetViews>
  <sheetFormatPr defaultRowHeight="12.75" x14ac:dyDescent="0.2"/>
  <sheetData>
    <row r="6" spans="3:13" x14ac:dyDescent="0.2">
      <c r="E6" t="s">
        <v>151</v>
      </c>
      <c r="H6" t="s">
        <v>152</v>
      </c>
      <c r="J6" t="s">
        <v>155</v>
      </c>
      <c r="L6" t="s">
        <v>157</v>
      </c>
      <c r="M6" t="s">
        <v>158</v>
      </c>
    </row>
    <row r="7" spans="3:13" x14ac:dyDescent="0.2">
      <c r="C7" t="s">
        <v>148</v>
      </c>
      <c r="D7" t="s">
        <v>149</v>
      </c>
      <c r="E7" s="42">
        <v>1500</v>
      </c>
      <c r="F7" t="s">
        <v>150</v>
      </c>
      <c r="H7" s="37">
        <v>5900</v>
      </c>
      <c r="I7" t="s">
        <v>153</v>
      </c>
      <c r="J7" t="s">
        <v>154</v>
      </c>
      <c r="K7" t="s">
        <v>156</v>
      </c>
      <c r="L7" t="s">
        <v>40</v>
      </c>
      <c r="M7" s="38">
        <v>0.1</v>
      </c>
    </row>
    <row r="8" spans="3:13" x14ac:dyDescent="0.2">
      <c r="C8" s="35" t="s">
        <v>163</v>
      </c>
      <c r="G8" s="41">
        <f>E7*M7</f>
        <v>150</v>
      </c>
      <c r="H8" s="35" t="s">
        <v>164</v>
      </c>
      <c r="I8" s="36">
        <f>I18</f>
        <v>0.17857142857142858</v>
      </c>
      <c r="J8" s="35" t="s">
        <v>165</v>
      </c>
      <c r="K8" s="43">
        <f>G8*I8</f>
        <v>26.785714285714285</v>
      </c>
    </row>
    <row r="10" spans="3:13" x14ac:dyDescent="0.2">
      <c r="C10" s="35" t="s">
        <v>159</v>
      </c>
      <c r="H10">
        <v>1250</v>
      </c>
      <c r="I10" s="39">
        <f>H11-H10</f>
        <v>250</v>
      </c>
    </row>
    <row r="11" spans="3:13" x14ac:dyDescent="0.2">
      <c r="H11">
        <v>1500</v>
      </c>
    </row>
    <row r="13" spans="3:13" x14ac:dyDescent="0.2">
      <c r="C13" s="35" t="s">
        <v>160</v>
      </c>
      <c r="H13">
        <v>4500</v>
      </c>
      <c r="I13" s="40">
        <f>H14-H13</f>
        <v>1400</v>
      </c>
    </row>
    <row r="14" spans="3:13" x14ac:dyDescent="0.2">
      <c r="H14">
        <v>5900</v>
      </c>
    </row>
    <row r="16" spans="3:13" x14ac:dyDescent="0.2">
      <c r="C16" s="35" t="s">
        <v>161</v>
      </c>
      <c r="I16" s="36">
        <f>I13/I10</f>
        <v>5.6</v>
      </c>
      <c r="J16" s="35">
        <f>5.6*250</f>
        <v>1400</v>
      </c>
      <c r="K16">
        <v>140</v>
      </c>
      <c r="L16">
        <f>H14-K16</f>
        <v>5760</v>
      </c>
    </row>
    <row r="18" spans="2:13" x14ac:dyDescent="0.2">
      <c r="B18">
        <f>I18*1400</f>
        <v>250</v>
      </c>
      <c r="C18" s="35" t="s">
        <v>162</v>
      </c>
      <c r="I18" s="44">
        <f>I10/I13</f>
        <v>0.17857142857142858</v>
      </c>
      <c r="J18">
        <f>I13*I18</f>
        <v>250</v>
      </c>
      <c r="K18">
        <v>25</v>
      </c>
      <c r="L18">
        <f>E7-K18</f>
        <v>1475</v>
      </c>
      <c r="M18">
        <f>L18*I18</f>
        <v>263.39285714285717</v>
      </c>
    </row>
    <row r="21" spans="2:13" x14ac:dyDescent="0.2">
      <c r="C21" s="35" t="s">
        <v>166</v>
      </c>
      <c r="H21">
        <f>H14-K8</f>
        <v>5873.2142857142853</v>
      </c>
    </row>
  </sheetData>
  <customSheetViews>
    <customSheetView guid="{4770F18A-B840-4B20-A42E-C86FB8C2CAA9}" state="hidden">
      <selection activeCell="J28" sqref="J28"/>
      <pageMargins left="0.7" right="0.7" top="0.75" bottom="0.75" header="0.3" footer="0.3"/>
    </customSheetView>
  </customSheetView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vt:i4>
      </vt:variant>
    </vt:vector>
  </HeadingPairs>
  <TitlesOfParts>
    <vt:vector size="9" baseType="lpstr">
      <vt:lpstr>How this works </vt:lpstr>
      <vt:lpstr>Fireflow information</vt:lpstr>
      <vt:lpstr>Fireflow worksheet</vt:lpstr>
      <vt:lpstr>Chapter 9 sprinkler check </vt:lpstr>
      <vt:lpstr>fire alarm worksheet</vt:lpstr>
      <vt:lpstr>interplation </vt:lpstr>
      <vt:lpstr>reverse eng</vt:lpstr>
      <vt:lpstr>for later</vt:lpstr>
      <vt:lpstr>'Fireflow worksheet'!Print_Area</vt:lpstr>
    </vt:vector>
  </TitlesOfParts>
  <Company>Thurston County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Thurston County</dc:creator>
  <cp:lastModifiedBy>Stacy Klein</cp:lastModifiedBy>
  <cp:lastPrinted>2011-11-03T15:05:54Z</cp:lastPrinted>
  <dcterms:created xsi:type="dcterms:W3CDTF">2008-07-15T14:42:35Z</dcterms:created>
  <dcterms:modified xsi:type="dcterms:W3CDTF">2023-02-13T18:54:11Z</dcterms:modified>
</cp:coreProperties>
</file>